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360" yWindow="120" windowWidth="18915" windowHeight="16215" firstSheet="8" activeTab="9"/>
  </bookViews>
  <sheets>
    <sheet name="Balance Sheet 06 30 11" sheetId="5" r:id="rId1"/>
    <sheet name="P &amp; L FYE 06 30 11" sheetId="1" r:id="rId2"/>
    <sheet name="Sheet2" sheetId="2" state="hidden" r:id="rId3"/>
    <sheet name="Sheet3" sheetId="3" state="hidden" r:id="rId4"/>
    <sheet name="Cash Flow" sheetId="8" r:id="rId5"/>
    <sheet name="2010 By Conf" sheetId="6" r:id="rId6"/>
    <sheet name="2011 By Conf" sheetId="9" r:id="rId7"/>
    <sheet name="2012 Budget By Conf 100" sheetId="10" r:id="rId8"/>
    <sheet name="2012 Budget By Conf 120" sheetId="11" r:id="rId9"/>
    <sheet name="CONFERENCES Most Likely $450" sheetId="12" r:id="rId10"/>
    <sheet name="CONFERENCES Most Likely $500" sheetId="13" r:id="rId11"/>
  </sheets>
  <definedNames>
    <definedName name="_xlnm.Print_Area" localSheetId="8">'2012 Budget By Conf 120'!$A$1:$R$68</definedName>
    <definedName name="_xlnm.Print_Area" localSheetId="0">'Balance Sheet 06 30 11'!$A$1:$L$48</definedName>
    <definedName name="_xlnm.Print_Titles" localSheetId="5">'2010 By Conf'!$A:$F,'2010 By Conf'!$1:$1</definedName>
    <definedName name="_xlnm.Print_Titles" localSheetId="6">'2011 By Conf'!$A:$F,'2011 By Conf'!$1:$1</definedName>
    <definedName name="_xlnm.Print_Titles" localSheetId="0">'Balance Sheet 06 30 11'!$A:$F,'Balance Sheet 06 30 11'!$1:$1</definedName>
    <definedName name="_xlnm.Print_Titles" localSheetId="4">'Cash Flow'!$A:$E,'Cash Flow'!$1:$1</definedName>
    <definedName name="_xlnm.Print_Titles" localSheetId="1">'P &amp; L FYE 06 30 11'!$A:$F,'P &amp; L FYE 06 30 11'!$1:$1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63" i="6" l="1"/>
  <c r="K63" i="6"/>
  <c r="G63" i="6"/>
  <c r="I62" i="6"/>
  <c r="G62" i="6"/>
  <c r="M51" i="6"/>
  <c r="M54" i="6"/>
  <c r="I51" i="6"/>
  <c r="I54" i="6"/>
  <c r="O53" i="6"/>
  <c r="O52" i="6"/>
  <c r="K51" i="6"/>
  <c r="K54" i="6"/>
  <c r="G51" i="6"/>
  <c r="O51" i="6"/>
  <c r="O50" i="6"/>
  <c r="O49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M33" i="6"/>
  <c r="K33" i="6"/>
  <c r="K29" i="6"/>
  <c r="K20" i="6"/>
  <c r="K23" i="6"/>
  <c r="K55" i="6"/>
  <c r="I33" i="6"/>
  <c r="G33" i="6"/>
  <c r="O33" i="6"/>
  <c r="O32" i="6"/>
  <c r="O31" i="6"/>
  <c r="M29" i="6"/>
  <c r="M20" i="6"/>
  <c r="M23" i="6"/>
  <c r="M55" i="6"/>
  <c r="I29" i="6"/>
  <c r="I20" i="6"/>
  <c r="I23" i="6"/>
  <c r="I55" i="6"/>
  <c r="G29" i="6"/>
  <c r="O29" i="6"/>
  <c r="O28" i="6"/>
  <c r="O27" i="6"/>
  <c r="O26" i="6"/>
  <c r="O25" i="6"/>
  <c r="G23" i="6"/>
  <c r="O23" i="6"/>
  <c r="O22" i="6"/>
  <c r="G20" i="6"/>
  <c r="O20" i="6"/>
  <c r="O19" i="6"/>
  <c r="M14" i="6"/>
  <c r="M15" i="6"/>
  <c r="I14" i="6"/>
  <c r="I15" i="6"/>
  <c r="K14" i="6"/>
  <c r="K15" i="6"/>
  <c r="K7" i="6"/>
  <c r="K16" i="6"/>
  <c r="G14" i="6"/>
  <c r="O14" i="6"/>
  <c r="O13" i="6"/>
  <c r="O12" i="6"/>
  <c r="O11" i="6"/>
  <c r="O9" i="6"/>
  <c r="M7" i="6"/>
  <c r="M16" i="6"/>
  <c r="M56" i="6"/>
  <c r="M57" i="6"/>
  <c r="I7" i="6"/>
  <c r="I16" i="6"/>
  <c r="I56" i="6"/>
  <c r="I57" i="6"/>
  <c r="G7" i="6"/>
  <c r="O7" i="6"/>
  <c r="O6" i="6"/>
  <c r="O5" i="6"/>
  <c r="K56" i="6"/>
  <c r="K57" i="6"/>
  <c r="G15" i="6"/>
  <c r="G54" i="6"/>
  <c r="O54" i="6"/>
  <c r="G64" i="6"/>
  <c r="G55" i="6"/>
  <c r="O55" i="6"/>
  <c r="I64" i="6"/>
  <c r="K62" i="6"/>
  <c r="K64" i="6"/>
  <c r="G16" i="6"/>
  <c r="O15" i="6"/>
  <c r="G56" i="6"/>
  <c r="O16" i="6"/>
  <c r="O56" i="6"/>
  <c r="G57" i="6"/>
  <c r="O57" i="6"/>
  <c r="G48" i="9"/>
  <c r="H48" i="9"/>
  <c r="G49" i="9"/>
  <c r="H49" i="9"/>
  <c r="G50" i="9"/>
  <c r="H50" i="9"/>
  <c r="O13" i="9"/>
  <c r="K29" i="9"/>
  <c r="K40" i="9"/>
  <c r="G29" i="9"/>
  <c r="G40" i="9"/>
  <c r="O39" i="9"/>
  <c r="O38" i="9"/>
  <c r="O37" i="9"/>
  <c r="O36" i="9"/>
  <c r="O35" i="9"/>
  <c r="O34" i="9"/>
  <c r="O33" i="9"/>
  <c r="O32" i="9"/>
  <c r="O31" i="9"/>
  <c r="O30" i="9"/>
  <c r="M29" i="9"/>
  <c r="M40" i="9"/>
  <c r="M25" i="9"/>
  <c r="M21" i="9"/>
  <c r="M41" i="9"/>
  <c r="I29" i="9"/>
  <c r="I40" i="9"/>
  <c r="O29" i="9"/>
  <c r="O28" i="9"/>
  <c r="K25" i="9"/>
  <c r="I25" i="9"/>
  <c r="I21" i="9"/>
  <c r="I41" i="9"/>
  <c r="G25" i="9"/>
  <c r="O25" i="9"/>
  <c r="O24" i="9"/>
  <c r="O23" i="9"/>
  <c r="K21" i="9"/>
  <c r="K41" i="9"/>
  <c r="G21" i="9"/>
  <c r="O21" i="9"/>
  <c r="O20" i="9"/>
  <c r="M15" i="9"/>
  <c r="M16" i="9"/>
  <c r="I15" i="9"/>
  <c r="I16" i="9"/>
  <c r="I8" i="9"/>
  <c r="I17" i="9"/>
  <c r="K15" i="9"/>
  <c r="K16" i="9"/>
  <c r="K8" i="9"/>
  <c r="K17" i="9"/>
  <c r="G15" i="9"/>
  <c r="G16" i="9"/>
  <c r="O14" i="9"/>
  <c r="O12" i="9"/>
  <c r="O10" i="9"/>
  <c r="M8" i="9"/>
  <c r="M17" i="9"/>
  <c r="G8" i="9"/>
  <c r="G17" i="9"/>
  <c r="O7" i="9"/>
  <c r="O6" i="9"/>
  <c r="O4" i="9"/>
  <c r="K42" i="9"/>
  <c r="K43" i="9"/>
  <c r="O17" i="9"/>
  <c r="M42" i="9"/>
  <c r="M43" i="9"/>
  <c r="O16" i="9"/>
  <c r="I42" i="9"/>
  <c r="I43" i="9"/>
  <c r="O40" i="9"/>
  <c r="O8" i="9"/>
  <c r="O15" i="9"/>
  <c r="G41" i="9"/>
  <c r="O41" i="9"/>
  <c r="G42" i="9"/>
  <c r="G43" i="9"/>
  <c r="O43" i="9"/>
  <c r="O42" i="9"/>
  <c r="I66" i="10"/>
  <c r="K66" i="10"/>
  <c r="G66" i="10"/>
  <c r="I65" i="10"/>
  <c r="G65" i="10"/>
  <c r="K53" i="10"/>
  <c r="S54" i="10"/>
  <c r="G42" i="10"/>
  <c r="L54" i="10"/>
  <c r="L55" i="10"/>
  <c r="M53" i="10"/>
  <c r="M54" i="10"/>
  <c r="M55" i="10"/>
  <c r="I35" i="10"/>
  <c r="G31" i="10"/>
  <c r="G33" i="10"/>
  <c r="I33" i="10"/>
  <c r="K33" i="10"/>
  <c r="O33" i="10"/>
  <c r="Q33" i="10"/>
  <c r="L14" i="10"/>
  <c r="L15" i="10"/>
  <c r="L16" i="10"/>
  <c r="L56" i="10"/>
  <c r="L57" i="10"/>
  <c r="K11" i="10"/>
  <c r="M11" i="10"/>
  <c r="I11" i="10"/>
  <c r="Q11" i="10"/>
  <c r="M13" i="10"/>
  <c r="K13" i="10"/>
  <c r="I13" i="10"/>
  <c r="I14" i="10"/>
  <c r="I15" i="10"/>
  <c r="Q5" i="10"/>
  <c r="Q53" i="10"/>
  <c r="Q52" i="10"/>
  <c r="O51" i="10"/>
  <c r="O54" i="10"/>
  <c r="K51" i="10"/>
  <c r="K54" i="10"/>
  <c r="I51" i="10"/>
  <c r="I54" i="10"/>
  <c r="G51" i="10"/>
  <c r="G54" i="10"/>
  <c r="Q50" i="10"/>
  <c r="Q49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2" i="10"/>
  <c r="Q31" i="10"/>
  <c r="O29" i="10"/>
  <c r="K29" i="10"/>
  <c r="I29" i="10"/>
  <c r="G29" i="10"/>
  <c r="Q28" i="10"/>
  <c r="Q27" i="10"/>
  <c r="Q26" i="10"/>
  <c r="Q25" i="10"/>
  <c r="O23" i="10"/>
  <c r="K23" i="10"/>
  <c r="I23" i="10"/>
  <c r="G23" i="10"/>
  <c r="Q23" i="10"/>
  <c r="Q22" i="10"/>
  <c r="O20" i="10"/>
  <c r="K20" i="10"/>
  <c r="I20" i="10"/>
  <c r="G20" i="10"/>
  <c r="Q19" i="10"/>
  <c r="O14" i="10"/>
  <c r="O15" i="10"/>
  <c r="K14" i="10"/>
  <c r="K15" i="10"/>
  <c r="G14" i="10"/>
  <c r="G15" i="10"/>
  <c r="Q12" i="10"/>
  <c r="Q9" i="10"/>
  <c r="O7" i="10"/>
  <c r="O16" i="10"/>
  <c r="K7" i="10"/>
  <c r="I7" i="10"/>
  <c r="G7" i="10"/>
  <c r="G16" i="10"/>
  <c r="Q6" i="10"/>
  <c r="K16" i="10"/>
  <c r="Q13" i="10"/>
  <c r="G67" i="10"/>
  <c r="M14" i="10"/>
  <c r="M15" i="10"/>
  <c r="M16" i="10"/>
  <c r="M56" i="10"/>
  <c r="M57" i="10"/>
  <c r="I67" i="10"/>
  <c r="I16" i="10"/>
  <c r="Q20" i="10"/>
  <c r="K65" i="10"/>
  <c r="K67" i="10"/>
  <c r="Q54" i="10"/>
  <c r="G55" i="10"/>
  <c r="O55" i="10"/>
  <c r="O56" i="10"/>
  <c r="O57" i="10"/>
  <c r="K55" i="10"/>
  <c r="I55" i="10"/>
  <c r="G56" i="10"/>
  <c r="Q7" i="10"/>
  <c r="Q29" i="10"/>
  <c r="Q51" i="10"/>
  <c r="Q16" i="10"/>
  <c r="K56" i="10"/>
  <c r="K57" i="10"/>
  <c r="I56" i="10"/>
  <c r="I57" i="10"/>
  <c r="Q15" i="10"/>
  <c r="Q14" i="10"/>
  <c r="Q55" i="10"/>
  <c r="G57" i="10"/>
  <c r="Q56" i="10"/>
  <c r="Q57" i="10"/>
  <c r="K53" i="11"/>
  <c r="K51" i="11"/>
  <c r="K54" i="11"/>
  <c r="I66" i="11"/>
  <c r="K66" i="11"/>
  <c r="G66" i="11"/>
  <c r="I65" i="11"/>
  <c r="G65" i="11"/>
  <c r="G67" i="11"/>
  <c r="L54" i="11"/>
  <c r="L55" i="11"/>
  <c r="Q52" i="11"/>
  <c r="O51" i="11"/>
  <c r="O54" i="11"/>
  <c r="I51" i="11"/>
  <c r="G51" i="11"/>
  <c r="Q50" i="11"/>
  <c r="Q49" i="11"/>
  <c r="Q47" i="11"/>
  <c r="Q46" i="11"/>
  <c r="Q45" i="11"/>
  <c r="Q44" i="11"/>
  <c r="Q43" i="11"/>
  <c r="G42" i="11"/>
  <c r="Q42" i="11"/>
  <c r="Q41" i="11"/>
  <c r="Q40" i="11"/>
  <c r="Q39" i="11"/>
  <c r="Q38" i="11"/>
  <c r="Q37" i="11"/>
  <c r="Q36" i="11"/>
  <c r="I35" i="11"/>
  <c r="I54" i="11"/>
  <c r="O33" i="11"/>
  <c r="K33" i="11"/>
  <c r="I33" i="11"/>
  <c r="Q32" i="11"/>
  <c r="G31" i="11"/>
  <c r="G33" i="11"/>
  <c r="O29" i="11"/>
  <c r="K29" i="11"/>
  <c r="I29" i="11"/>
  <c r="G29" i="11"/>
  <c r="Q28" i="11"/>
  <c r="Q27" i="11"/>
  <c r="Q26" i="11"/>
  <c r="Q25" i="11"/>
  <c r="O23" i="11"/>
  <c r="K23" i="11"/>
  <c r="I23" i="11"/>
  <c r="G23" i="11"/>
  <c r="Q22" i="11"/>
  <c r="O20" i="11"/>
  <c r="K20" i="11"/>
  <c r="I20" i="11"/>
  <c r="G20" i="11"/>
  <c r="Q20" i="11"/>
  <c r="Q19" i="11"/>
  <c r="O14" i="11"/>
  <c r="O15" i="11"/>
  <c r="L14" i="11"/>
  <c r="L15" i="11"/>
  <c r="L16" i="11"/>
  <c r="L56" i="11"/>
  <c r="L57" i="11"/>
  <c r="G14" i="11"/>
  <c r="G15" i="11"/>
  <c r="M13" i="11"/>
  <c r="K13" i="11"/>
  <c r="I13" i="11"/>
  <c r="Q12" i="11"/>
  <c r="M14" i="11"/>
  <c r="M15" i="11"/>
  <c r="M16" i="11"/>
  <c r="K14" i="11"/>
  <c r="K15" i="11"/>
  <c r="I11" i="11"/>
  <c r="I14" i="11"/>
  <c r="I15" i="11"/>
  <c r="Q9" i="11"/>
  <c r="O7" i="11"/>
  <c r="O16" i="11"/>
  <c r="K7" i="11"/>
  <c r="K16" i="11"/>
  <c r="I7" i="11"/>
  <c r="I16" i="11"/>
  <c r="G7" i="11"/>
  <c r="G16" i="11"/>
  <c r="Q6" i="11"/>
  <c r="Q5" i="11"/>
  <c r="O55" i="11"/>
  <c r="Q13" i="11"/>
  <c r="Q23" i="11"/>
  <c r="Q33" i="11"/>
  <c r="G54" i="11"/>
  <c r="G55" i="11"/>
  <c r="G56" i="11"/>
  <c r="I67" i="11"/>
  <c r="I55" i="11"/>
  <c r="I56" i="11"/>
  <c r="I57" i="11"/>
  <c r="O56" i="11"/>
  <c r="O57" i="11"/>
  <c r="K55" i="11"/>
  <c r="K56" i="11"/>
  <c r="K57" i="11"/>
  <c r="Q16" i="11"/>
  <c r="Q15" i="11"/>
  <c r="Q7" i="11"/>
  <c r="Q11" i="11"/>
  <c r="Q14" i="11"/>
  <c r="Q29" i="11"/>
  <c r="Q31" i="11"/>
  <c r="Q35" i="11"/>
  <c r="Q51" i="11"/>
  <c r="M53" i="11"/>
  <c r="M54" i="11"/>
  <c r="M55" i="11"/>
  <c r="M56" i="11"/>
  <c r="M57" i="11"/>
  <c r="Q53" i="11"/>
  <c r="K65" i="11"/>
  <c r="K67" i="11"/>
  <c r="G57" i="11"/>
  <c r="Q57" i="11"/>
  <c r="Q56" i="11"/>
  <c r="Q54" i="11"/>
  <c r="Q55" i="11"/>
  <c r="H45" i="5"/>
  <c r="G45" i="5"/>
  <c r="J45" i="5"/>
  <c r="H46" i="5"/>
  <c r="H47" i="5"/>
  <c r="J46" i="5"/>
  <c r="G46" i="5"/>
  <c r="G47" i="5"/>
  <c r="H26" i="5"/>
  <c r="H30" i="5"/>
  <c r="H38" i="5"/>
  <c r="H19" i="5"/>
  <c r="H14" i="5"/>
  <c r="H15" i="5"/>
  <c r="H8" i="5"/>
  <c r="H16" i="5"/>
  <c r="H20" i="5"/>
  <c r="J38" i="5"/>
  <c r="J30" i="5"/>
  <c r="J31" i="5"/>
  <c r="J26" i="5"/>
  <c r="J19" i="5"/>
  <c r="J14" i="5"/>
  <c r="J15" i="5"/>
  <c r="J8" i="5"/>
  <c r="J47" i="5"/>
  <c r="J32" i="5"/>
  <c r="J33" i="5"/>
  <c r="J39" i="5"/>
  <c r="H31" i="5"/>
  <c r="H32" i="5"/>
  <c r="H33" i="5"/>
  <c r="J16" i="5"/>
  <c r="J20" i="5"/>
  <c r="H39" i="5"/>
  <c r="H24" i="8"/>
  <c r="I24" i="8"/>
  <c r="F24" i="8"/>
  <c r="H23" i="8"/>
  <c r="H25" i="8"/>
  <c r="F23" i="8"/>
  <c r="F25" i="8"/>
  <c r="H15" i="8"/>
  <c r="H12" i="8"/>
  <c r="F15" i="8"/>
  <c r="F12" i="8"/>
  <c r="F16" i="8"/>
  <c r="F18" i="8"/>
  <c r="H16" i="8"/>
  <c r="H18" i="8"/>
  <c r="I23" i="8"/>
  <c r="I25" i="8"/>
  <c r="I42" i="12"/>
  <c r="O41" i="12"/>
  <c r="M41" i="12"/>
  <c r="K41" i="12"/>
  <c r="I32" i="12"/>
  <c r="I50" i="12"/>
  <c r="O50" i="12"/>
  <c r="M63" i="12"/>
  <c r="O63" i="12"/>
  <c r="K75" i="12"/>
  <c r="M75" i="12"/>
  <c r="I75" i="12"/>
  <c r="K74" i="12"/>
  <c r="K76" i="12"/>
  <c r="I74" i="12"/>
  <c r="I76" i="12"/>
  <c r="S52" i="12"/>
  <c r="Q51" i="12"/>
  <c r="Q54" i="12"/>
  <c r="M51" i="12"/>
  <c r="K51" i="12"/>
  <c r="I51" i="12"/>
  <c r="S50" i="12"/>
  <c r="S49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K35" i="12"/>
  <c r="K54" i="12"/>
  <c r="Q33" i="12"/>
  <c r="M33" i="12"/>
  <c r="K33" i="12"/>
  <c r="S32" i="12"/>
  <c r="I31" i="12"/>
  <c r="I33" i="12"/>
  <c r="Q29" i="12"/>
  <c r="M29" i="12"/>
  <c r="K29" i="12"/>
  <c r="I29" i="12"/>
  <c r="S28" i="12"/>
  <c r="S27" i="12"/>
  <c r="S26" i="12"/>
  <c r="S25" i="12"/>
  <c r="Q23" i="12"/>
  <c r="M23" i="12"/>
  <c r="K23" i="12"/>
  <c r="I23" i="12"/>
  <c r="S22" i="12"/>
  <c r="Q20" i="12"/>
  <c r="M20" i="12"/>
  <c r="K20" i="12"/>
  <c r="I20" i="12"/>
  <c r="S19" i="12"/>
  <c r="Q14" i="12"/>
  <c r="Q15" i="12"/>
  <c r="N14" i="12"/>
  <c r="N15" i="12"/>
  <c r="N16" i="12"/>
  <c r="I14" i="12"/>
  <c r="I15" i="12"/>
  <c r="O13" i="12"/>
  <c r="O14" i="12"/>
  <c r="O15" i="12"/>
  <c r="O16" i="12"/>
  <c r="M13" i="12"/>
  <c r="M14" i="12"/>
  <c r="M15" i="12"/>
  <c r="K13" i="12"/>
  <c r="S12" i="12"/>
  <c r="S9" i="12"/>
  <c r="Q7" i="12"/>
  <c r="Q16" i="12"/>
  <c r="M7" i="12"/>
  <c r="K7" i="12"/>
  <c r="I7" i="12"/>
  <c r="I16" i="12"/>
  <c r="S6" i="12"/>
  <c r="S5" i="12"/>
  <c r="K14" i="12"/>
  <c r="K15" i="12"/>
  <c r="K16" i="12"/>
  <c r="M16" i="12"/>
  <c r="S20" i="12"/>
  <c r="S13" i="12"/>
  <c r="S23" i="12"/>
  <c r="S33" i="12"/>
  <c r="K55" i="12"/>
  <c r="Q55" i="12"/>
  <c r="Q56" i="12"/>
  <c r="Q57" i="12"/>
  <c r="I54" i="12"/>
  <c r="I55" i="12"/>
  <c r="I56" i="12"/>
  <c r="M54" i="12"/>
  <c r="S7" i="12"/>
  <c r="S11" i="12"/>
  <c r="S29" i="12"/>
  <c r="S31" i="12"/>
  <c r="S35" i="12"/>
  <c r="S51" i="12"/>
  <c r="O54" i="12"/>
  <c r="O55" i="12"/>
  <c r="O56" i="12"/>
  <c r="O57" i="12"/>
  <c r="S53" i="12"/>
  <c r="M74" i="12"/>
  <c r="M76" i="12"/>
  <c r="S15" i="12"/>
  <c r="S14" i="12"/>
  <c r="S16" i="12"/>
  <c r="K56" i="12"/>
  <c r="K57" i="12"/>
  <c r="K67" i="12"/>
  <c r="I67" i="12"/>
  <c r="M55" i="12"/>
  <c r="M56" i="12"/>
  <c r="M57" i="12"/>
  <c r="I57" i="12"/>
  <c r="S54" i="12"/>
  <c r="M67" i="12"/>
  <c r="S55" i="12"/>
  <c r="S56" i="12"/>
  <c r="S57" i="12"/>
  <c r="I68" i="12"/>
  <c r="K68" i="12"/>
  <c r="M68" i="12"/>
  <c r="M69" i="12"/>
  <c r="I69" i="12"/>
  <c r="K69" i="12"/>
  <c r="S63" i="13"/>
  <c r="K74" i="13"/>
  <c r="K75" i="13"/>
  <c r="K76" i="13"/>
  <c r="M75" i="13"/>
  <c r="I75" i="13"/>
  <c r="I74" i="13"/>
  <c r="M74" i="13"/>
  <c r="M76" i="13"/>
  <c r="I76" i="13"/>
  <c r="O13" i="13"/>
  <c r="O14" i="13"/>
  <c r="O15" i="13"/>
  <c r="O16" i="13"/>
  <c r="M41" i="13"/>
  <c r="M51" i="13"/>
  <c r="M54" i="13"/>
  <c r="O41" i="13"/>
  <c r="O54" i="13"/>
  <c r="I67" i="13"/>
  <c r="S53" i="13"/>
  <c r="S52" i="13"/>
  <c r="Q51" i="13"/>
  <c r="Q54" i="13"/>
  <c r="Q29" i="13"/>
  <c r="Q33" i="13"/>
  <c r="Q20" i="13"/>
  <c r="Q23" i="13"/>
  <c r="Q55" i="13"/>
  <c r="K51" i="13"/>
  <c r="O50" i="13"/>
  <c r="I50" i="13"/>
  <c r="I51" i="13"/>
  <c r="S49" i="13"/>
  <c r="S47" i="13"/>
  <c r="S46" i="13"/>
  <c r="S45" i="13"/>
  <c r="S44" i="13"/>
  <c r="S43" i="13"/>
  <c r="I42" i="13"/>
  <c r="S42" i="13"/>
  <c r="O55" i="13"/>
  <c r="K41" i="13"/>
  <c r="K35" i="13"/>
  <c r="K54" i="13"/>
  <c r="S40" i="13"/>
  <c r="S39" i="13"/>
  <c r="S38" i="13"/>
  <c r="S37" i="13"/>
  <c r="S36" i="13"/>
  <c r="S35" i="13"/>
  <c r="M33" i="13"/>
  <c r="K33" i="13"/>
  <c r="I32" i="13"/>
  <c r="S32" i="13"/>
  <c r="I31" i="13"/>
  <c r="S31" i="13"/>
  <c r="M29" i="13"/>
  <c r="M20" i="13"/>
  <c r="M23" i="13"/>
  <c r="M55" i="13"/>
  <c r="K29" i="13"/>
  <c r="I29" i="13"/>
  <c r="S29" i="13"/>
  <c r="S28" i="13"/>
  <c r="S27" i="13"/>
  <c r="S26" i="13"/>
  <c r="S25" i="13"/>
  <c r="K23" i="13"/>
  <c r="I23" i="13"/>
  <c r="S23" i="13"/>
  <c r="S22" i="13"/>
  <c r="K20" i="13"/>
  <c r="I20" i="13"/>
  <c r="S20" i="13"/>
  <c r="S19" i="13"/>
  <c r="Q14" i="13"/>
  <c r="Q15" i="13"/>
  <c r="N14" i="13"/>
  <c r="N15" i="13"/>
  <c r="N16" i="13"/>
  <c r="I14" i="13"/>
  <c r="I15" i="13"/>
  <c r="K13" i="13"/>
  <c r="S12" i="13"/>
  <c r="S11" i="13"/>
  <c r="S9" i="13"/>
  <c r="Q7" i="13"/>
  <c r="Q16" i="13"/>
  <c r="Q56" i="13"/>
  <c r="Q57" i="13"/>
  <c r="M7" i="13"/>
  <c r="K7" i="13"/>
  <c r="I7" i="13"/>
  <c r="S7" i="13"/>
  <c r="S6" i="13"/>
  <c r="S5" i="13"/>
  <c r="I16" i="13"/>
  <c r="K55" i="13"/>
  <c r="K67" i="13"/>
  <c r="S51" i="13"/>
  <c r="I54" i="13"/>
  <c r="S54" i="13"/>
  <c r="O56" i="13"/>
  <c r="O57" i="13"/>
  <c r="I33" i="13"/>
  <c r="S50" i="13"/>
  <c r="M13" i="13"/>
  <c r="M14" i="13"/>
  <c r="M15" i="13"/>
  <c r="M16" i="13"/>
  <c r="M56" i="13"/>
  <c r="M57" i="13"/>
  <c r="K14" i="13"/>
  <c r="S41" i="13"/>
  <c r="M67" i="13"/>
  <c r="I55" i="13"/>
  <c r="S55" i="13"/>
  <c r="S33" i="13"/>
  <c r="I56" i="13"/>
  <c r="S14" i="13"/>
  <c r="K15" i="13"/>
  <c r="S13" i="13"/>
  <c r="I57" i="13"/>
  <c r="K16" i="13"/>
  <c r="S15" i="13"/>
  <c r="I68" i="13"/>
  <c r="K56" i="13"/>
  <c r="S16" i="13"/>
  <c r="K68" i="13"/>
  <c r="I69" i="13"/>
  <c r="K57" i="13"/>
  <c r="S57" i="13"/>
  <c r="S56" i="13"/>
  <c r="M68" i="13"/>
  <c r="M69" i="13"/>
  <c r="K69" i="13"/>
  <c r="H65" i="1"/>
  <c r="J65" i="1"/>
  <c r="G65" i="1"/>
  <c r="H64" i="1"/>
  <c r="H66" i="1"/>
  <c r="G64" i="1"/>
  <c r="G66" i="1"/>
  <c r="J55" i="1"/>
  <c r="J47" i="1"/>
  <c r="J52" i="1"/>
  <c r="J27" i="1"/>
  <c r="J23" i="1"/>
  <c r="J13" i="1"/>
  <c r="J15" i="1"/>
  <c r="J7" i="1"/>
  <c r="J16" i="1"/>
  <c r="G55" i="1"/>
  <c r="G47" i="1"/>
  <c r="G52" i="1"/>
  <c r="G30" i="1"/>
  <c r="G27" i="1"/>
  <c r="G23" i="1"/>
  <c r="G13" i="1"/>
  <c r="G15" i="1"/>
  <c r="G7" i="1"/>
  <c r="G16" i="1"/>
  <c r="J56" i="1"/>
  <c r="J57" i="1"/>
  <c r="J58" i="1"/>
  <c r="G56" i="1"/>
  <c r="G57" i="1"/>
  <c r="G58" i="1"/>
  <c r="J64" i="1"/>
  <c r="J66" i="1"/>
</calcChain>
</file>

<file path=xl/sharedStrings.xml><?xml version="1.0" encoding="utf-8"?>
<sst xmlns="http://schemas.openxmlformats.org/spreadsheetml/2006/main" count="606" uniqueCount="166">
  <si>
    <t>65011 · Chair expenses</t>
  </si>
  <si>
    <t>65019 · insurance, Excess Medical</t>
  </si>
  <si>
    <t>65012 · Conference audio visual expense</t>
  </si>
  <si>
    <t>65036 · Speaker honorariums &amp; expenses</t>
  </si>
  <si>
    <t>65010 · Books, Subscriptions, Reference</t>
  </si>
  <si>
    <t>65031 · Registrar expenses - Other</t>
  </si>
  <si>
    <t>2011 conference looks like it made money…it did not.  It should be a loss of about $5,000 and this is really good.  Due primarily to expense control across the board.</t>
  </si>
  <si>
    <t>13100 · Prepaid Expenses:13110 · Conference Deposits</t>
  </si>
  <si>
    <t>Jul 1 - Aug 12, 11</t>
  </si>
  <si>
    <t>65009 · Conference training expenses</t>
  </si>
  <si>
    <t>YRYLA</t>
  </si>
  <si>
    <t>RYLA</t>
  </si>
  <si>
    <t>Weighted Avg</t>
  </si>
  <si>
    <t>YRYLA CONF Wk 1</t>
  </si>
  <si>
    <t>YRYLA CONF Wk2</t>
  </si>
  <si>
    <t>2012 Assumption:</t>
  </si>
  <si>
    <t># of Conferees</t>
  </si>
  <si>
    <t>RYLA CONF</t>
  </si>
  <si>
    <t>Fee per attendee</t>
  </si>
  <si>
    <t>total of 200 for YRYLA</t>
  </si>
  <si>
    <t>Incl $300 for Pres Exp</t>
  </si>
  <si>
    <t>20hr/mo. 12 mo, $20/hr</t>
  </si>
  <si>
    <t>Letter to Me plus some</t>
  </si>
  <si>
    <t>$50 per team regardless of how spent</t>
  </si>
  <si>
    <t>Rev, Polly Leftosky</t>
  </si>
  <si>
    <t>YRYLA = 100*$400 each conferee</t>
  </si>
  <si>
    <t>YRYLA = 120*$400 each conferee</t>
  </si>
  <si>
    <t>2010/2011 Historical Cost per Conferee</t>
  </si>
  <si>
    <t>2012 Budget Cost per Conferee</t>
  </si>
  <si>
    <t xml:space="preserve">$50 per team </t>
  </si>
  <si>
    <t>YRYLA =Contract amount</t>
  </si>
  <si>
    <t>Ponderosa has this insurance</t>
  </si>
  <si>
    <t>Bd mtg exp; Incl $300 for Pres Exp</t>
  </si>
  <si>
    <t>Bd and Bd Comm mtgs mileage @.25</t>
  </si>
  <si>
    <t>CO Annual Report online filing fee</t>
  </si>
  <si>
    <t># of teams</t>
  </si>
  <si>
    <t># of counselors and staff</t>
  </si>
  <si>
    <t xml:space="preserve"> @ $0.25 per mile</t>
  </si>
  <si>
    <t>YRYLA will use RM RYLA sound system</t>
  </si>
  <si>
    <t>pre &amp; post conf; conf snacks</t>
  </si>
  <si>
    <t>Mostly Sun Office Prod &amp; conf chairs</t>
  </si>
  <si>
    <t>Counselor and conferee materials</t>
  </si>
  <si>
    <t>counselor and conferee shirts; counselor hats, key chains, ryls pins</t>
  </si>
  <si>
    <t>Admin</t>
  </si>
  <si>
    <t>RYLA CONFERENCE</t>
  </si>
  <si>
    <t>YRYLA CONFERENCE</t>
  </si>
  <si>
    <t>Unclassified</t>
  </si>
  <si>
    <t>TOTAL</t>
  </si>
  <si>
    <t>Ordinary Income/Expense</t>
  </si>
  <si>
    <t>Income</t>
  </si>
  <si>
    <t>45000 · Investments</t>
  </si>
  <si>
    <t>43400 · Direct Public Support</t>
  </si>
  <si>
    <t>43400 · Direct Public Support - Other</t>
  </si>
  <si>
    <t>43450 · Individ, Business Contributions</t>
  </si>
  <si>
    <t>Total 43400 · Direct Public Support</t>
  </si>
  <si>
    <t>46400 · Other Types of Income</t>
  </si>
  <si>
    <t>46400 · Other Types of Income - Other</t>
  </si>
  <si>
    <t>46410 · Registration Fees</t>
  </si>
  <si>
    <t>46411 · Registration fees-Adjustment</t>
  </si>
  <si>
    <t>46413 · Registration Fees Reunion</t>
  </si>
  <si>
    <t>46410 · Registration Fees - Other</t>
  </si>
  <si>
    <t>Total 46410 · Registration Fees</t>
  </si>
  <si>
    <t>Total 46400 · Other Types of Income</t>
  </si>
  <si>
    <t>Total Income</t>
  </si>
  <si>
    <t>Expense</t>
  </si>
  <si>
    <t>62100 · Contract Services</t>
  </si>
  <si>
    <t>62155 · RYLA Board Resouce</t>
  </si>
  <si>
    <t>Total 62100 · Contract Services</t>
  </si>
  <si>
    <t>60900 · Business Expenses</t>
  </si>
  <si>
    <t>60910 · Bank fees</t>
  </si>
  <si>
    <t>60935 · RYLA Reunion Expenses</t>
  </si>
  <si>
    <t>Total 60900 · Business Expenses</t>
  </si>
  <si>
    <t>65000 · Conferences</t>
  </si>
  <si>
    <t>65031 · Registrar expenses</t>
  </si>
  <si>
    <t>65033 · Website expense</t>
  </si>
  <si>
    <t>Total 65031 · Registrar expenses</t>
  </si>
  <si>
    <t>65037 · Storage</t>
  </si>
  <si>
    <t>65020 · Postage, Mailing Service</t>
  </si>
  <si>
    <t>65014 · Counselor expenses</t>
  </si>
  <si>
    <t>65016 · Counselor Mileage</t>
  </si>
  <si>
    <t>65030 · Printing and Copying</t>
  </si>
  <si>
    <t>65000 · Conferences - Other</t>
  </si>
  <si>
    <t>65013 · Conference shirts and more</t>
  </si>
  <si>
    <t>65008 · Conference food</t>
  </si>
  <si>
    <t>65040 · Supplies</t>
  </si>
  <si>
    <t>65007 · Conference facilities</t>
  </si>
  <si>
    <t>Total 65000 · Conferences</t>
  </si>
  <si>
    <t>Total Expense</t>
  </si>
  <si>
    <t>Net Ordinary Income</t>
  </si>
  <si>
    <t>Cost per Conferee - Based on 2010 Conference</t>
  </si>
  <si>
    <t>45000 · Investments - Other</t>
  </si>
  <si>
    <t>45030 · Interest-Savings, Short-term CD</t>
  </si>
  <si>
    <t>Total 45000 · Investments</t>
  </si>
  <si>
    <t>46430 · Miscellaneous Revenue</t>
  </si>
  <si>
    <t>62800 · Facilities and Equipment</t>
  </si>
  <si>
    <t>62840 · Equip Rental and Maintenance</t>
  </si>
  <si>
    <t>Total 62800 · Facilities and Equipment</t>
  </si>
  <si>
    <t>68300 · Travel and Meetings</t>
  </si>
  <si>
    <t>68310 · Conference, Convention, Meeting</t>
  </si>
  <si>
    <t>Total 68300 · Travel and Meetings</t>
  </si>
  <si>
    <t>60920 · Business Registration Fees</t>
  </si>
  <si>
    <t>60930 · Board  Expenses</t>
  </si>
  <si>
    <t>62110 · Accounting Fees</t>
  </si>
  <si>
    <t>65035 · Speaker &amp; Staff Gifts</t>
  </si>
  <si>
    <t>Jul '10 - Jun 11</t>
  </si>
  <si>
    <t>Net Income</t>
  </si>
  <si>
    <t>ASSETS</t>
  </si>
  <si>
    <t>Current Assets</t>
  </si>
  <si>
    <t>Checking/Savings</t>
  </si>
  <si>
    <t>11100 · Business Checking-  2302</t>
  </si>
  <si>
    <t>11200 · M R Savings-9938</t>
  </si>
  <si>
    <t>11300 · M R Savings-Club Deposits- 0662</t>
  </si>
  <si>
    <t>Total Checking/Savings</t>
  </si>
  <si>
    <t>Other Current Assets</t>
  </si>
  <si>
    <t>13100 · Prepaid Expenses</t>
  </si>
  <si>
    <t>Prepaid Website Hosting Expense</t>
  </si>
  <si>
    <t>Total 13100 · Prepaid Expenses</t>
  </si>
  <si>
    <t>Total Other Current Assets</t>
  </si>
  <si>
    <t>Total Current Assets</t>
  </si>
  <si>
    <t>Fixed Assets</t>
  </si>
  <si>
    <t>15000 · Furniture and Equipment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</si>
  <si>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</si>
  <si>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</si>
  <si>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</si>
  <si>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</si>
  <si>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</si>
  <si>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</si>
  <si>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</si>
  <si>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</si>
  <si>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Other Current Liabilities</t>
  </si>
  <si>
    <t>27300 · Registration Deposits</t>
  </si>
  <si>
    <t>27310 · Registration Deposits-Future</t>
  </si>
  <si>
    <t>Total 27300 · Registration Deposits</t>
  </si>
  <si>
    <t>Total Other Current Liabilities</t>
  </si>
  <si>
    <t>Total Current Liabilities</t>
  </si>
  <si>
    <t>Total Liabilities</t>
  </si>
  <si>
    <t>Equity</t>
  </si>
  <si>
    <t>30000 · Opening Balance Equity</t>
  </si>
  <si>
    <t>32000 · Unrestricted Net Assets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</si>
  <si>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</si>
  <si>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</si>
  <si>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</si>
  <si>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</si>
  <si>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</si>
  <si>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13100 · Prepaid Expenses:Prepaid Website Hosting Expense</t>
  </si>
  <si>
    <t>27100 · Vendor Accounts Payable</t>
  </si>
  <si>
    <t>27300 · Registration Deposits:27310 · Registration Deposits-Future</t>
  </si>
  <si>
    <t>Net cash provided by Operating Activities</t>
  </si>
  <si>
    <t>INVESTING ACTIVITIES</t>
  </si>
  <si>
    <t>Net cash provided by Investing Activities</t>
  </si>
  <si>
    <t>Net cash increase for period</t>
  </si>
  <si>
    <t>Cash at beginning of period</t>
  </si>
  <si>
    <t>Cash at end of period</t>
  </si>
  <si>
    <t>Aug 12, 11</t>
  </si>
  <si>
    <t>13110 · Conference Deposits</t>
  </si>
  <si>
    <t>Jun 30, 11</t>
  </si>
  <si>
    <t>Prepaid Expenses Other</t>
  </si>
  <si>
    <t>Cost per Conferee</t>
  </si>
  <si>
    <t>Direct</t>
  </si>
  <si>
    <t>Indirect</t>
  </si>
  <si>
    <t>All cash accounts agree to WFB at both dates</t>
  </si>
  <si>
    <t>Prepaid supplies for 2011 conference</t>
  </si>
  <si>
    <t>Facility deposits for YMCA &amp; Ponderosa</t>
  </si>
  <si>
    <t>Sound system and projectors</t>
  </si>
  <si>
    <t>Last minutes bills paid but paymnet not input into QB</t>
  </si>
  <si>
    <t>6/30 = all recepts for 2011 conf; 8/12 = est. amt due to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</si>
</sst>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10" x14ac:knownFonts="1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doubleAccounting"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0" xfId="0" applyNumberFormat="1" applyFont="1" applyBorder="1"/>
    <xf numFmtId="0" fontId="0" fillId="2" borderId="6" xfId="0" applyFill="1" applyBorder="1"/>
    <xf numFmtId="0" fontId="0" fillId="2" borderId="4" xfId="0" applyFill="1" applyBorder="1"/>
    <xf numFmtId="0" fontId="0" fillId="2" borderId="7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8" xfId="0" applyFill="1" applyBorder="1"/>
    <xf numFmtId="43" fontId="1" fillId="2" borderId="2" xfId="1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11" xfId="0" applyFill="1" applyBorder="1"/>
    <xf numFmtId="0" fontId="4" fillId="2" borderId="4" xfId="0" applyFont="1" applyFill="1" applyBorder="1"/>
    <xf numFmtId="0" fontId="4" fillId="2" borderId="8" xfId="0" applyFont="1" applyFill="1" applyBorder="1"/>
    <xf numFmtId="44" fontId="1" fillId="2" borderId="0" xfId="2" applyFont="1" applyFill="1" applyBorder="1"/>
    <xf numFmtId="44" fontId="5" fillId="2" borderId="0" xfId="2" applyFont="1" applyFill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2" borderId="6" xfId="0" applyFont="1" applyFill="1" applyBorder="1"/>
    <xf numFmtId="0" fontId="0" fillId="2" borderId="4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/>
    <xf numFmtId="43" fontId="1" fillId="2" borderId="0" xfId="1" applyFont="1" applyFill="1" applyBorder="1"/>
    <xf numFmtId="0" fontId="4" fillId="2" borderId="12" xfId="0" applyNumberFormat="1" applyFont="1" applyFill="1" applyBorder="1" applyAlignment="1">
      <alignment horizontal="center" wrapText="1"/>
    </xf>
    <xf numFmtId="0" fontId="0" fillId="2" borderId="9" xfId="0" applyNumberFormat="1" applyFill="1" applyBorder="1"/>
    <xf numFmtId="44" fontId="1" fillId="2" borderId="9" xfId="2" applyFont="1" applyFill="1" applyBorder="1"/>
    <xf numFmtId="44" fontId="1" fillId="2" borderId="13" xfId="2" applyFont="1" applyFill="1" applyBorder="1"/>
    <xf numFmtId="44" fontId="5" fillId="2" borderId="9" xfId="2" applyFont="1" applyFill="1" applyBorder="1"/>
    <xf numFmtId="0" fontId="0" fillId="2" borderId="11" xfId="0" applyNumberFormat="1" applyFill="1" applyBorder="1"/>
    <xf numFmtId="0" fontId="0" fillId="2" borderId="0" xfId="0" applyFill="1"/>
    <xf numFmtId="0" fontId="4" fillId="2" borderId="4" xfId="0" applyFont="1" applyFill="1" applyBorder="1" applyAlignment="1">
      <alignment wrapText="1"/>
    </xf>
    <xf numFmtId="43" fontId="2" fillId="0" borderId="0" xfId="1" applyFont="1"/>
    <xf numFmtId="43" fontId="2" fillId="0" borderId="2" xfId="1" applyFont="1" applyBorder="1"/>
    <xf numFmtId="43" fontId="2" fillId="0" borderId="0" xfId="1" applyFont="1" applyBorder="1"/>
    <xf numFmtId="43" fontId="2" fillId="0" borderId="4" xfId="1" applyFont="1" applyBorder="1"/>
    <xf numFmtId="43" fontId="2" fillId="0" borderId="3" xfId="1" applyFont="1" applyBorder="1"/>
    <xf numFmtId="43" fontId="1" fillId="0" borderId="5" xfId="1" applyFont="1" applyBorder="1"/>
    <xf numFmtId="43" fontId="1" fillId="0" borderId="0" xfId="1" applyFont="1" applyBorder="1"/>
    <xf numFmtId="0" fontId="8" fillId="0" borderId="0" xfId="0" applyFont="1"/>
    <xf numFmtId="44" fontId="1" fillId="0" borderId="1" xfId="0" applyNumberFormat="1" applyFont="1" applyBorder="1" applyAlignment="1">
      <alignment horizontal="center" wrapText="1"/>
    </xf>
    <xf numFmtId="44" fontId="2" fillId="0" borderId="0" xfId="0" applyNumberFormat="1" applyFont="1"/>
    <xf numFmtId="44" fontId="2" fillId="0" borderId="0" xfId="1" applyNumberFormat="1" applyFont="1"/>
    <xf numFmtId="44" fontId="2" fillId="0" borderId="2" xfId="1" applyNumberFormat="1" applyFont="1" applyBorder="1"/>
    <xf numFmtId="44" fontId="2" fillId="0" borderId="0" xfId="1" applyNumberFormat="1" applyFont="1" applyBorder="1"/>
    <xf numFmtId="44" fontId="2" fillId="0" borderId="4" xfId="1" applyNumberFormat="1" applyFont="1" applyBorder="1"/>
    <xf numFmtId="44" fontId="2" fillId="0" borderId="3" xfId="1" applyNumberFormat="1" applyFont="1" applyBorder="1"/>
    <xf numFmtId="44" fontId="1" fillId="0" borderId="0" xfId="1" applyNumberFormat="1" applyFont="1" applyBorder="1"/>
    <xf numFmtId="44" fontId="0" fillId="0" borderId="0" xfId="0" applyNumberFormat="1"/>
    <xf numFmtId="43" fontId="1" fillId="2" borderId="14" xfId="1" applyFont="1" applyFill="1" applyBorder="1"/>
    <xf numFmtId="0" fontId="0" fillId="3" borderId="0" xfId="0" applyNumberFormat="1" applyFill="1" applyBorder="1"/>
    <xf numFmtId="0" fontId="4" fillId="2" borderId="6" xfId="0" applyFont="1" applyFill="1" applyBorder="1" applyAlignment="1">
      <alignment wrapText="1"/>
    </xf>
    <xf numFmtId="0" fontId="0" fillId="3" borderId="4" xfId="0" applyFill="1" applyBorder="1"/>
    <xf numFmtId="0" fontId="0" fillId="3" borderId="4" xfId="0" applyNumberFormat="1" applyFill="1" applyBorder="1"/>
    <xf numFmtId="0" fontId="4" fillId="2" borderId="7" xfId="0" applyNumberFormat="1" applyFont="1" applyFill="1" applyBorder="1" applyAlignment="1">
      <alignment horizontal="center" wrapText="1"/>
    </xf>
    <xf numFmtId="43" fontId="1" fillId="2" borderId="13" xfId="1" applyFont="1" applyFill="1" applyBorder="1"/>
    <xf numFmtId="0" fontId="0" fillId="2" borderId="2" xfId="0" applyNumberFormat="1" applyFill="1" applyBorder="1"/>
    <xf numFmtId="1" fontId="1" fillId="0" borderId="0" xfId="1" applyNumberFormat="1" applyFont="1" applyBorder="1"/>
    <xf numFmtId="0" fontId="8" fillId="0" borderId="0" xfId="0" applyFont="1" applyAlignment="1">
      <alignment wrapText="1"/>
    </xf>
    <xf numFmtId="49" fontId="1" fillId="0" borderId="6" xfId="0" applyNumberFormat="1" applyFont="1" applyBorder="1"/>
    <xf numFmtId="49" fontId="1" fillId="0" borderId="4" xfId="0" applyNumberFormat="1" applyFont="1" applyBorder="1"/>
    <xf numFmtId="0" fontId="0" fillId="0" borderId="4" xfId="0" applyBorder="1"/>
    <xf numFmtId="43" fontId="1" fillId="0" borderId="4" xfId="1" applyFont="1" applyBorder="1"/>
    <xf numFmtId="44" fontId="1" fillId="0" borderId="4" xfId="1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0" xfId="0" applyNumberFormat="1" applyFont="1" applyBorder="1"/>
    <xf numFmtId="0" fontId="1" fillId="0" borderId="0" xfId="0" applyNumberFormat="1" applyFont="1" applyBorder="1"/>
    <xf numFmtId="1" fontId="1" fillId="0" borderId="0" xfId="0" applyNumberFormat="1" applyFont="1" applyBorder="1"/>
    <xf numFmtId="49" fontId="1" fillId="0" borderId="9" xfId="0" applyNumberFormat="1" applyFont="1" applyBorder="1"/>
    <xf numFmtId="0" fontId="1" fillId="0" borderId="8" xfId="0" applyNumberFormat="1" applyFont="1" applyBorder="1"/>
    <xf numFmtId="0" fontId="0" fillId="0" borderId="0" xfId="0" applyNumberFormat="1" applyBorder="1"/>
    <xf numFmtId="0" fontId="0" fillId="0" borderId="9" xfId="0" applyNumberFormat="1" applyBorder="1"/>
    <xf numFmtId="0" fontId="1" fillId="0" borderId="10" xfId="0" applyNumberFormat="1" applyFont="1" applyBorder="1"/>
    <xf numFmtId="0" fontId="1" fillId="0" borderId="2" xfId="0" applyNumberFormat="1" applyFont="1" applyBorder="1"/>
    <xf numFmtId="0" fontId="0" fillId="0" borderId="2" xfId="0" applyNumberFormat="1" applyBorder="1"/>
    <xf numFmtId="1" fontId="1" fillId="0" borderId="2" xfId="1" applyNumberFormat="1" applyFont="1" applyBorder="1"/>
    <xf numFmtId="1" fontId="1" fillId="0" borderId="2" xfId="0" applyNumberFormat="1" applyFont="1" applyBorder="1"/>
    <xf numFmtId="0" fontId="0" fillId="0" borderId="11" xfId="0" applyNumberFormat="1" applyBorder="1"/>
    <xf numFmtId="0" fontId="4" fillId="2" borderId="14" xfId="0" applyFont="1" applyFill="1" applyBorder="1" applyAlignment="1">
      <alignment horizontal="center"/>
    </xf>
    <xf numFmtId="0" fontId="4" fillId="3" borderId="0" xfId="0" applyNumberFormat="1" applyFont="1" applyFill="1" applyBorder="1"/>
    <xf numFmtId="0" fontId="0" fillId="0" borderId="7" xfId="0" applyBorder="1"/>
    <xf numFmtId="0" fontId="4" fillId="2" borderId="9" xfId="0" applyNumberFormat="1" applyFont="1" applyFill="1" applyBorder="1" applyAlignment="1">
      <alignment horizontal="center" wrapText="1"/>
    </xf>
    <xf numFmtId="43" fontId="1" fillId="2" borderId="9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pane xSplit="6" ySplit="1" topLeftCell="G33" activePane="bottomRight" state="frozenSplit"/>
      <selection pane="topRight" activeCell="G1" sqref="G1"/>
      <selection pane="bottomLeft" activeCell="A2" sqref="A2"/>
      <selection pane="bottomRight" activeCell="H1" sqref="H1:H39"/>
    </sheetView>
  </sheetViews>
  <sheetFormatPr defaultColWidth="8.85546875" defaultRowHeight="15" x14ac:dyDescent="0.25"/>
  <cols>
    <col min="1" max="1" width="1.42578125" style="12" customWidth="1"/>
    <col min="2" max="2" width="1.7109375" style="12" customWidth="1"/>
    <col min="3" max="3" width="1.42578125" style="12" customWidth="1"/>
    <col min="4" max="4" width="1.7109375" style="12" customWidth="1"/>
    <col min="5" max="5" width="2.140625" style="12" customWidth="1"/>
    <col min="6" max="6" width="27.42578125" style="12" customWidth="1"/>
    <col min="7" max="7" width="8.42578125" customWidth="1"/>
    <col min="8" max="8" width="10.85546875" style="13" customWidth="1"/>
    <col min="9" max="9" width="3" style="13" customWidth="1"/>
    <col min="10" max="10" width="10.42578125" style="13" customWidth="1"/>
    <col min="11" max="11" width="1.42578125" customWidth="1"/>
    <col min="12" max="12" width="56.140625" style="32" customWidth="1"/>
  </cols>
  <sheetData>
    <row r="1" spans="1:12" s="11" customFormat="1" ht="15.75" thickBot="1" x14ac:dyDescent="0.3">
      <c r="A1" s="9"/>
      <c r="B1" s="9"/>
      <c r="C1" s="9"/>
      <c r="D1" s="9"/>
      <c r="E1" s="9"/>
      <c r="F1" s="9"/>
      <c r="H1" s="10" t="s">
        <v>155</v>
      </c>
      <c r="I1" s="10"/>
      <c r="J1" s="10" t="s">
        <v>153</v>
      </c>
      <c r="L1" s="31"/>
    </row>
    <row r="2" spans="1:12" ht="15.75" thickTop="1" x14ac:dyDescent="0.25">
      <c r="A2" s="1" t="s">
        <v>106</v>
      </c>
      <c r="B2" s="1"/>
      <c r="C2" s="1"/>
      <c r="D2" s="1"/>
      <c r="E2" s="1"/>
      <c r="F2" s="1"/>
      <c r="H2" s="2"/>
      <c r="I2" s="2"/>
      <c r="J2" s="2"/>
    </row>
    <row r="3" spans="1:12" x14ac:dyDescent="0.25">
      <c r="A3" s="1"/>
      <c r="B3" s="1" t="s">
        <v>107</v>
      </c>
      <c r="C3" s="1"/>
      <c r="D3" s="1"/>
      <c r="E3" s="1"/>
      <c r="F3" s="1"/>
      <c r="H3" s="2"/>
      <c r="I3" s="2"/>
      <c r="J3" s="2"/>
    </row>
    <row r="4" spans="1:12" x14ac:dyDescent="0.25">
      <c r="A4" s="1"/>
      <c r="B4" s="1"/>
      <c r="C4" s="1" t="s">
        <v>108</v>
      </c>
      <c r="D4" s="1"/>
      <c r="E4" s="1"/>
      <c r="F4" s="1"/>
      <c r="H4" s="2"/>
      <c r="I4" s="2"/>
      <c r="J4" s="2"/>
    </row>
    <row r="5" spans="1:12" x14ac:dyDescent="0.25">
      <c r="A5" s="1"/>
      <c r="B5" s="1"/>
      <c r="C5" s="1"/>
      <c r="D5" s="1" t="s">
        <v>109</v>
      </c>
      <c r="E5" s="1"/>
      <c r="F5" s="1"/>
      <c r="H5" s="2">
        <v>2702.02</v>
      </c>
      <c r="I5" s="2"/>
      <c r="J5" s="2">
        <v>6286.11</v>
      </c>
    </row>
    <row r="6" spans="1:12" x14ac:dyDescent="0.25">
      <c r="A6" s="1"/>
      <c r="B6" s="1"/>
      <c r="C6" s="1"/>
      <c r="D6" s="1" t="s">
        <v>110</v>
      </c>
      <c r="E6" s="1"/>
      <c r="F6" s="1"/>
      <c r="H6" s="2">
        <v>25312.3</v>
      </c>
      <c r="I6" s="2"/>
      <c r="J6" s="2">
        <v>25314.44</v>
      </c>
    </row>
    <row r="7" spans="1:12" ht="15.75" thickBot="1" x14ac:dyDescent="0.3">
      <c r="A7" s="1"/>
      <c r="B7" s="1"/>
      <c r="C7" s="1"/>
      <c r="D7" s="1" t="s">
        <v>111</v>
      </c>
      <c r="E7" s="1"/>
      <c r="F7" s="1"/>
      <c r="H7" s="3">
        <v>151651.79</v>
      </c>
      <c r="I7" s="3"/>
      <c r="J7" s="3">
        <v>19307.98</v>
      </c>
    </row>
    <row r="8" spans="1:12" x14ac:dyDescent="0.25">
      <c r="A8" s="1"/>
      <c r="B8" s="1"/>
      <c r="C8" s="1" t="s">
        <v>112</v>
      </c>
      <c r="D8" s="1"/>
      <c r="E8" s="1"/>
      <c r="F8" s="1"/>
      <c r="H8" s="2">
        <f>ROUND(SUM(H4:H7),5)</f>
        <v>179666.11</v>
      </c>
      <c r="I8" s="2"/>
      <c r="J8" s="2">
        <f>ROUND(SUM(J4:J7),5)</f>
        <v>50908.53</v>
      </c>
      <c r="L8" s="32" t="s">
        <v>160</v>
      </c>
    </row>
    <row r="9" spans="1:12" ht="30" customHeight="1" x14ac:dyDescent="0.25">
      <c r="A9" s="1"/>
      <c r="B9" s="1"/>
      <c r="C9" s="1" t="s">
        <v>113</v>
      </c>
      <c r="D9" s="1"/>
      <c r="E9" s="1"/>
      <c r="F9" s="1"/>
      <c r="H9" s="2"/>
      <c r="I9" s="2"/>
      <c r="J9" s="2"/>
    </row>
    <row r="10" spans="1:12" x14ac:dyDescent="0.25">
      <c r="A10" s="1"/>
      <c r="B10" s="1"/>
      <c r="C10" s="1"/>
      <c r="D10" s="1" t="s">
        <v>114</v>
      </c>
      <c r="E10" s="1"/>
      <c r="F10" s="1"/>
      <c r="H10" s="2"/>
      <c r="I10" s="2"/>
      <c r="J10" s="2"/>
    </row>
    <row r="11" spans="1:12" x14ac:dyDescent="0.25">
      <c r="A11" s="1"/>
      <c r="B11" s="1"/>
      <c r="C11" s="1"/>
      <c r="D11" s="1"/>
      <c r="E11" s="1" t="s">
        <v>115</v>
      </c>
      <c r="F11" s="1"/>
      <c r="H11" s="2">
        <v>675</v>
      </c>
      <c r="I11" s="2"/>
      <c r="J11" s="2">
        <v>600</v>
      </c>
    </row>
    <row r="12" spans="1:12" x14ac:dyDescent="0.25">
      <c r="A12" s="1"/>
      <c r="B12" s="1"/>
      <c r="C12" s="1"/>
      <c r="D12" s="1"/>
      <c r="E12" s="1" t="s">
        <v>156</v>
      </c>
      <c r="F12" s="1"/>
      <c r="H12" s="4">
        <v>3871</v>
      </c>
      <c r="I12" s="4"/>
      <c r="J12" s="2">
        <v>0</v>
      </c>
      <c r="L12" s="32" t="s">
        <v>161</v>
      </c>
    </row>
    <row r="13" spans="1:12" ht="15.75" thickBot="1" x14ac:dyDescent="0.3">
      <c r="A13" s="1"/>
      <c r="B13" s="1"/>
      <c r="C13" s="1"/>
      <c r="D13" s="1"/>
      <c r="E13" s="1" t="s">
        <v>154</v>
      </c>
      <c r="F13" s="1"/>
      <c r="H13" s="3">
        <v>11680</v>
      </c>
      <c r="I13" s="4"/>
      <c r="J13" s="4">
        <v>12642</v>
      </c>
      <c r="L13" s="32" t="s">
        <v>162</v>
      </c>
    </row>
    <row r="14" spans="1:12" ht="15.75" thickBot="1" x14ac:dyDescent="0.3">
      <c r="A14" s="1"/>
      <c r="B14" s="1"/>
      <c r="C14" s="1"/>
      <c r="D14" s="1" t="s">
        <v>116</v>
      </c>
      <c r="E14" s="1"/>
      <c r="F14" s="1"/>
      <c r="H14" s="6">
        <f>ROUND(SUM(H10:H13),5)</f>
        <v>16226</v>
      </c>
      <c r="I14" s="6"/>
      <c r="J14" s="6">
        <f>ROUND(SUM(J10:J13),5)</f>
        <v>13242</v>
      </c>
    </row>
    <row r="15" spans="1:12" ht="30" customHeight="1" thickBot="1" x14ac:dyDescent="0.3">
      <c r="A15" s="1"/>
      <c r="B15" s="1"/>
      <c r="C15" s="1" t="s">
        <v>117</v>
      </c>
      <c r="D15" s="1"/>
      <c r="E15" s="1"/>
      <c r="F15" s="1"/>
      <c r="H15" s="5">
        <f>ROUND(SUM(H10:H13),5)</f>
        <v>16226</v>
      </c>
      <c r="I15" s="6"/>
      <c r="J15" s="5">
        <f>ROUND(J9+J14,5)</f>
        <v>13242</v>
      </c>
    </row>
    <row r="16" spans="1:12" ht="30" customHeight="1" x14ac:dyDescent="0.25">
      <c r="A16" s="1"/>
      <c r="B16" s="1" t="s">
        <v>118</v>
      </c>
      <c r="C16" s="1"/>
      <c r="D16" s="1"/>
      <c r="E16" s="1"/>
      <c r="F16" s="1"/>
      <c r="H16" s="2">
        <f>ROUND(H3+H8+H15,5)</f>
        <v>195892.11</v>
      </c>
      <c r="I16" s="2"/>
      <c r="J16" s="2">
        <f>ROUND(J3+J8+J15,5)</f>
        <v>64150.53</v>
      </c>
    </row>
    <row r="17" spans="1:12" ht="30" customHeight="1" x14ac:dyDescent="0.25">
      <c r="A17" s="1"/>
      <c r="B17" s="1" t="s">
        <v>119</v>
      </c>
      <c r="C17" s="1"/>
      <c r="D17" s="1"/>
      <c r="E17" s="1"/>
      <c r="F17" s="1"/>
      <c r="H17" s="2"/>
      <c r="I17" s="2"/>
      <c r="J17" s="2"/>
    </row>
    <row r="18" spans="1:12" ht="15.75" thickBot="1" x14ac:dyDescent="0.3">
      <c r="A18" s="1"/>
      <c r="B18" s="1"/>
      <c r="C18" s="1" t="s">
        <v>120</v>
      </c>
      <c r="D18" s="1"/>
      <c r="E18" s="1"/>
      <c r="F18" s="1"/>
      <c r="H18" s="4">
        <v>2114.86</v>
      </c>
      <c r="I18" s="4"/>
      <c r="J18" s="4">
        <v>2564.86</v>
      </c>
      <c r="L18" s="32" t="s">
        <v>163</v>
      </c>
    </row>
    <row r="19" spans="1:12" ht="15.75" thickBot="1" x14ac:dyDescent="0.3">
      <c r="A19" s="1"/>
      <c r="B19" s="1" t="s">
        <v>121</v>
      </c>
      <c r="C19" s="1"/>
      <c r="D19" s="1"/>
      <c r="E19" s="1"/>
      <c r="F19" s="1"/>
      <c r="H19" s="6">
        <f>ROUND(SUM(H17:H18),5)</f>
        <v>2114.86</v>
      </c>
      <c r="I19" s="6"/>
      <c r="J19" s="6">
        <f>ROUND(SUM(J17:J18),5)</f>
        <v>2564.86</v>
      </c>
    </row>
    <row r="20" spans="1:12" s="8" customFormat="1" ht="30" customHeight="1" thickBot="1" x14ac:dyDescent="0.25">
      <c r="A20" s="1" t="s">
        <v>122</v>
      </c>
      <c r="B20" s="1"/>
      <c r="C20" s="1"/>
      <c r="D20" s="1"/>
      <c r="E20" s="1"/>
      <c r="F20" s="1"/>
      <c r="H20" s="7">
        <f>ROUND(H2+H16+H19,5)</f>
        <v>198006.97</v>
      </c>
      <c r="I20" s="7"/>
      <c r="J20" s="7">
        <f>ROUND(J2+J16+J19,5)</f>
        <v>66715.39</v>
      </c>
      <c r="L20" s="30"/>
    </row>
    <row r="21" spans="1:12" ht="31.5" customHeight="1" thickTop="1" x14ac:dyDescent="0.25">
      <c r="A21" s="1" t="s">
        <v>123</v>
      </c>
      <c r="B21" s="1"/>
      <c r="C21" s="1"/>
      <c r="D21" s="1"/>
      <c r="E21" s="1"/>
      <c r="F21" s="1"/>
      <c r="H21" s="14"/>
      <c r="I21" s="14"/>
      <c r="J21" s="2"/>
    </row>
    <row r="22" spans="1:12" x14ac:dyDescent="0.25">
      <c r="A22" s="1"/>
      <c r="B22" s="1" t="s">
        <v>124</v>
      </c>
      <c r="C22" s="1"/>
      <c r="D22" s="1"/>
      <c r="E22" s="1"/>
      <c r="F22" s="1"/>
      <c r="H22" s="2"/>
      <c r="I22" s="2"/>
      <c r="J22" s="2"/>
    </row>
    <row r="23" spans="1:12" x14ac:dyDescent="0.25">
      <c r="A23" s="1"/>
      <c r="B23" s="1"/>
      <c r="C23" s="1" t="s">
        <v>125</v>
      </c>
      <c r="D23" s="1"/>
      <c r="E23" s="1"/>
      <c r="F23" s="1"/>
      <c r="H23" s="2"/>
      <c r="I23" s="2"/>
      <c r="J23" s="2"/>
    </row>
    <row r="24" spans="1:12" x14ac:dyDescent="0.25">
      <c r="A24" s="1"/>
      <c r="B24" s="1"/>
      <c r="C24" s="1"/>
      <c r="D24" s="1" t="s">
        <v>126</v>
      </c>
      <c r="E24" s="1"/>
      <c r="F24" s="1"/>
      <c r="H24" s="2"/>
      <c r="I24" s="2"/>
      <c r="J24" s="2"/>
    </row>
    <row r="25" spans="1:12" ht="15.75" thickBot="1" x14ac:dyDescent="0.3">
      <c r="A25" s="1"/>
      <c r="B25" s="1"/>
      <c r="C25" s="1"/>
      <c r="D25" s="1"/>
      <c r="E25" s="1" t="s">
        <v>127</v>
      </c>
      <c r="F25" s="1"/>
      <c r="H25" s="3">
        <v>0</v>
      </c>
      <c r="I25" s="3"/>
      <c r="J25" s="3">
        <v>934.18</v>
      </c>
      <c r="L25" s="32" t="s">
        <v>164</v>
      </c>
    </row>
    <row r="26" spans="1:12" x14ac:dyDescent="0.25">
      <c r="A26" s="1"/>
      <c r="B26" s="1"/>
      <c r="C26" s="1"/>
      <c r="D26" s="1" t="s">
        <v>128</v>
      </c>
      <c r="E26" s="1"/>
      <c r="F26" s="1"/>
      <c r="H26" s="2">
        <f>ROUND(SUM(H24:H25),5)</f>
        <v>0</v>
      </c>
      <c r="I26" s="2"/>
      <c r="J26" s="2">
        <f>ROUND(SUM(J24:J25),5)</f>
        <v>934.18</v>
      </c>
    </row>
    <row r="27" spans="1:12" ht="30" customHeight="1" x14ac:dyDescent="0.25">
      <c r="A27" s="1"/>
      <c r="B27" s="1"/>
      <c r="C27" s="1"/>
      <c r="D27" s="1" t="s">
        <v>129</v>
      </c>
      <c r="E27" s="1"/>
      <c r="F27" s="1"/>
      <c r="J27" s="2"/>
    </row>
    <row r="28" spans="1:12" x14ac:dyDescent="0.25">
      <c r="A28" s="1"/>
      <c r="B28" s="1"/>
      <c r="C28" s="1"/>
      <c r="D28" s="1"/>
      <c r="E28" s="1" t="s">
        <v>130</v>
      </c>
      <c r="F28" s="1"/>
      <c r="H28" s="2">
        <v>17975</v>
      </c>
      <c r="I28" s="2"/>
      <c r="J28" s="2">
        <v>0</v>
      </c>
    </row>
    <row r="29" spans="1:12" ht="15.75" thickBot="1" x14ac:dyDescent="0.3">
      <c r="A29" s="1"/>
      <c r="B29" s="1"/>
      <c r="C29" s="1"/>
      <c r="D29" s="1"/>
      <c r="E29" s="1"/>
      <c r="F29" s="1" t="s">
        <v>131</v>
      </c>
      <c r="H29" s="4">
        <v>163050</v>
      </c>
      <c r="I29" s="4"/>
      <c r="J29" s="4">
        <v>35975</v>
      </c>
      <c r="L29" s="32" t="s">
        <v>165</v>
      </c>
    </row>
    <row r="30" spans="1:12" ht="15.75" thickBot="1" x14ac:dyDescent="0.3">
      <c r="A30" s="1"/>
      <c r="B30" s="1"/>
      <c r="C30" s="1"/>
      <c r="D30" s="1"/>
      <c r="E30" s="1" t="s">
        <v>132</v>
      </c>
      <c r="F30" s="1"/>
      <c r="H30" s="6">
        <f>ROUND(SUM(H26:H29),5)</f>
        <v>181025</v>
      </c>
      <c r="I30" s="6"/>
      <c r="J30" s="6">
        <f>ROUND(SUM(J28:J29),5)</f>
        <v>35975</v>
      </c>
    </row>
    <row r="31" spans="1:12" ht="30" customHeight="1" thickBot="1" x14ac:dyDescent="0.3">
      <c r="A31" s="1"/>
      <c r="B31" s="1"/>
      <c r="C31" s="1"/>
      <c r="D31" s="1" t="s">
        <v>133</v>
      </c>
      <c r="E31" s="1"/>
      <c r="F31" s="1"/>
      <c r="H31" s="6">
        <f>ROUND(H27+H30,5)</f>
        <v>181025</v>
      </c>
      <c r="I31" s="6"/>
      <c r="J31" s="6">
        <f>ROUND(J27+J30,5)</f>
        <v>35975</v>
      </c>
    </row>
    <row r="32" spans="1:12" ht="30" customHeight="1" thickBot="1" x14ac:dyDescent="0.3">
      <c r="A32" s="1"/>
      <c r="B32" s="1"/>
      <c r="C32" s="1" t="s">
        <v>134</v>
      </c>
      <c r="D32" s="1"/>
      <c r="E32" s="1"/>
      <c r="F32" s="1"/>
      <c r="H32" s="5">
        <f>ROUND(H23+H26+H31,5)</f>
        <v>181025</v>
      </c>
      <c r="I32" s="5"/>
      <c r="J32" s="5">
        <f>ROUND(J23+J26+J31,5)</f>
        <v>36909.18</v>
      </c>
    </row>
    <row r="33" spans="1:12" ht="30" customHeight="1" x14ac:dyDescent="0.25">
      <c r="A33" s="1"/>
      <c r="B33" s="1" t="s">
        <v>135</v>
      </c>
      <c r="C33" s="1"/>
      <c r="D33" s="1"/>
      <c r="E33" s="1"/>
      <c r="F33" s="1"/>
      <c r="H33" s="2">
        <f>ROUND(H22+H32,5)</f>
        <v>181025</v>
      </c>
      <c r="I33" s="2"/>
      <c r="J33" s="2">
        <f>ROUND(J22+J32,5)</f>
        <v>36909.18</v>
      </c>
    </row>
    <row r="34" spans="1:12" ht="30" customHeight="1" x14ac:dyDescent="0.25">
      <c r="A34" s="1"/>
      <c r="B34" s="1" t="s">
        <v>136</v>
      </c>
      <c r="C34" s="1"/>
      <c r="D34" s="1"/>
      <c r="E34" s="1"/>
      <c r="F34" s="1"/>
      <c r="J34" s="2"/>
    </row>
    <row r="35" spans="1:12" x14ac:dyDescent="0.25">
      <c r="A35" s="1"/>
      <c r="B35" s="1"/>
      <c r="C35" s="1" t="s">
        <v>137</v>
      </c>
      <c r="D35" s="1"/>
      <c r="E35" s="1"/>
      <c r="F35" s="1"/>
      <c r="H35" s="2">
        <v>48578.86</v>
      </c>
      <c r="I35" s="2"/>
      <c r="J35" s="2">
        <v>48578.86</v>
      </c>
    </row>
    <row r="36" spans="1:12" x14ac:dyDescent="0.25">
      <c r="A36" s="1"/>
      <c r="B36" s="1"/>
      <c r="C36" s="1" t="s">
        <v>138</v>
      </c>
      <c r="D36" s="1"/>
      <c r="E36" s="1"/>
      <c r="F36" s="1"/>
      <c r="H36" s="2">
        <v>-19330.310000000001</v>
      </c>
      <c r="I36" s="2"/>
      <c r="J36" s="2">
        <v>-31596.89</v>
      </c>
    </row>
    <row r="37" spans="1:12" ht="39.75" thickBot="1" x14ac:dyDescent="0.3">
      <c r="A37" s="1"/>
      <c r="B37" s="1"/>
      <c r="C37" s="1" t="s">
        <v>105</v>
      </c>
      <c r="D37" s="1"/>
      <c r="E37" s="1"/>
      <c r="F37" s="1"/>
      <c r="H37" s="4">
        <v>-12266.58</v>
      </c>
      <c r="I37" s="4"/>
      <c r="J37" s="4">
        <v>12824.24</v>
      </c>
      <c r="L37" s="32" t="s">
        <v>6</v>
      </c>
    </row>
    <row r="38" spans="1:12" ht="15.75" thickBot="1" x14ac:dyDescent="0.3">
      <c r="A38" s="1"/>
      <c r="B38" s="1" t="s">
        <v>139</v>
      </c>
      <c r="C38" s="1"/>
      <c r="D38" s="1"/>
      <c r="E38" s="1"/>
      <c r="F38" s="1"/>
      <c r="H38" s="6">
        <f>ROUND(SUM(H34:H37),5)</f>
        <v>16981.97</v>
      </c>
      <c r="I38" s="6"/>
      <c r="J38" s="6">
        <f>ROUND(SUM(J34:J37),5)</f>
        <v>29806.21</v>
      </c>
    </row>
    <row r="39" spans="1:12" s="8" customFormat="1" ht="30" customHeight="1" thickBot="1" x14ac:dyDescent="0.25">
      <c r="A39" s="1" t="s">
        <v>140</v>
      </c>
      <c r="B39" s="1"/>
      <c r="C39" s="1"/>
      <c r="D39" s="1"/>
      <c r="E39" s="1"/>
      <c r="F39" s="1"/>
      <c r="H39" s="7">
        <f>ROUND(H22+H32+H38,5)</f>
        <v>198006.97</v>
      </c>
      <c r="I39" s="7"/>
      <c r="J39" s="7">
        <f>ROUND(J21+J33+J38,5)</f>
        <v>66715.39</v>
      </c>
      <c r="L39" s="30"/>
    </row>
    <row r="40" spans="1:12" s="8" customFormat="1" ht="15.75" thickTop="1" x14ac:dyDescent="0.25">
      <c r="A40" s="12"/>
      <c r="B40" s="12"/>
      <c r="C40" s="12"/>
      <c r="D40" s="12"/>
      <c r="E40" s="12"/>
      <c r="F40" s="12"/>
      <c r="H40" s="13"/>
      <c r="I40" s="13"/>
      <c r="J40" s="13"/>
      <c r="L40" s="30"/>
    </row>
    <row r="42" spans="1:12" ht="15.75" thickBot="1" x14ac:dyDescent="0.3"/>
    <row r="43" spans="1:12" ht="30" x14ac:dyDescent="0.25">
      <c r="F43" s="15"/>
      <c r="G43" s="26" t="s">
        <v>157</v>
      </c>
      <c r="H43" s="16"/>
      <c r="I43" s="16"/>
      <c r="J43" s="45" t="s">
        <v>12</v>
      </c>
    </row>
    <row r="44" spans="1:12" x14ac:dyDescent="0.25">
      <c r="F44" s="20"/>
      <c r="G44" s="41" t="s">
        <v>10</v>
      </c>
      <c r="H44" s="42" t="s">
        <v>11</v>
      </c>
      <c r="I44" s="40"/>
      <c r="J44" s="46"/>
    </row>
    <row r="45" spans="1:12" x14ac:dyDescent="0.25">
      <c r="F45" s="18" t="s">
        <v>158</v>
      </c>
      <c r="G45" s="28">
        <f>54547.35/120</f>
        <v>454.56124999999997</v>
      </c>
      <c r="H45" s="28">
        <f>90391.79/240</f>
        <v>376.63245833333332</v>
      </c>
      <c r="I45" s="43"/>
      <c r="J45" s="47">
        <f>((H45*2)+G45)/3</f>
        <v>402.60872222222224</v>
      </c>
    </row>
    <row r="46" spans="1:12" x14ac:dyDescent="0.25">
      <c r="F46" s="27" t="s">
        <v>159</v>
      </c>
      <c r="G46" s="44">
        <f>17131.84/360</f>
        <v>47.588444444444448</v>
      </c>
      <c r="H46" s="44">
        <f>17131.84/360</f>
        <v>47.588444444444448</v>
      </c>
      <c r="I46" s="40"/>
      <c r="J46" s="48">
        <f>H46</f>
        <v>47.588444444444448</v>
      </c>
    </row>
    <row r="47" spans="1:12" ht="16.5" x14ac:dyDescent="0.35">
      <c r="F47" s="20"/>
      <c r="G47" s="29">
        <f>SUM(G45:G46)</f>
        <v>502.14969444444444</v>
      </c>
      <c r="H47" s="29">
        <f>SUM(H45:H46)</f>
        <v>424.22090277777778</v>
      </c>
      <c r="I47" s="40"/>
      <c r="J47" s="49">
        <f>SUM(J45:J46)</f>
        <v>450.1971666666667</v>
      </c>
    </row>
    <row r="48" spans="1:12" ht="15.75" thickBot="1" x14ac:dyDescent="0.3">
      <c r="F48" s="23"/>
      <c r="G48" s="24"/>
      <c r="H48" s="24"/>
      <c r="I48" s="24"/>
      <c r="J48" s="50"/>
    </row>
  </sheetData>
  <phoneticPr fontId="9" type="noConversion"/>
  <pageMargins left="0.7" right="0.7" top="0.88" bottom="0.43" header="0.25" footer="0.22"/>
  <headerFooter>
    <oddHeader>&amp;L&amp;"Arial,Bold"&amp;8 7:26 PM
&amp;"Arial,Bold"&amp;8 08/12/11
&amp;"Arial,Bold"&amp;8 Accrual Basis&amp;C&amp;"Arial,Bold"&amp;12 Rocky Mountain RYLA
&amp;"Arial,Bold"&amp;14 Balance Sheet
&amp;"Arial,Bold"&amp;10 As of August 12, 2011</oddHeader>
    <oddFooter>&amp;R&amp;"Arial,Bold"&amp;8 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T77"/>
  <sheetViews>
    <sheetView tabSelected="1" topLeftCell="I48" zoomScale="125" zoomScaleNormal="125" zoomScalePageLayoutView="125" workbookViewId="0">
      <selection activeCell="T79" sqref="T79:T81"/>
    </sheetView>
  </sheetViews>
  <sheetFormatPr defaultColWidth="8.85546875" defaultRowHeight="15" x14ac:dyDescent="0.25"/>
  <cols>
    <col min="1" max="1" width="1" customWidth="1"/>
    <col min="2" max="3" width="1.42578125" customWidth="1"/>
    <col min="4" max="4" width="2" customWidth="1"/>
    <col min="5" max="5" width="1.7109375" customWidth="1"/>
    <col min="6" max="6" width="1.42578125" customWidth="1"/>
    <col min="7" max="7" width="1.85546875" customWidth="1"/>
    <col min="8" max="8" width="30.42578125" customWidth="1"/>
    <col min="9" max="9" width="10" customWidth="1"/>
    <col min="10" max="10" width="2.7109375" customWidth="1"/>
    <col min="11" max="11" width="9.85546875" customWidth="1"/>
    <col min="12" max="12" width="2.42578125" customWidth="1"/>
    <col min="13" max="13" width="10.85546875" customWidth="1"/>
    <col min="14" max="14" width="2.140625" customWidth="1"/>
    <col min="15" max="15" width="10.7109375" customWidth="1"/>
    <col min="16" max="16" width="2.140625" customWidth="1"/>
    <col min="17" max="17" width="7.28515625" customWidth="1"/>
    <col min="18" max="18" width="3.140625" customWidth="1"/>
    <col min="19" max="19" width="11.28515625" customWidth="1"/>
    <col min="20" max="20" width="24.7109375" customWidth="1"/>
  </cols>
  <sheetData>
    <row r="1" spans="3:20" ht="14.25" customHeight="1" thickBot="1" x14ac:dyDescent="0.3">
      <c r="C1" s="9"/>
      <c r="D1" s="9"/>
      <c r="E1" s="9"/>
      <c r="F1" s="9"/>
      <c r="G1" s="9"/>
      <c r="H1" s="9"/>
      <c r="I1" s="34" t="s">
        <v>43</v>
      </c>
      <c r="J1" s="35"/>
      <c r="K1" s="34" t="s">
        <v>17</v>
      </c>
      <c r="L1" s="35"/>
      <c r="M1" s="34" t="s">
        <v>13</v>
      </c>
      <c r="N1" s="35"/>
      <c r="O1" s="61" t="s">
        <v>14</v>
      </c>
      <c r="P1" s="35"/>
      <c r="Q1" s="34" t="s">
        <v>46</v>
      </c>
      <c r="R1" s="35"/>
      <c r="S1" s="34" t="s">
        <v>47</v>
      </c>
      <c r="T1" s="60"/>
    </row>
    <row r="2" spans="3:20" ht="14.25" customHeight="1" thickTop="1" x14ac:dyDescent="0.25">
      <c r="C2" s="1"/>
      <c r="D2" s="1" t="s">
        <v>48</v>
      </c>
      <c r="E2" s="1"/>
      <c r="F2" s="1"/>
      <c r="G2" s="1"/>
      <c r="H2" s="1"/>
      <c r="I2" s="2"/>
      <c r="J2" s="33"/>
      <c r="K2" s="2"/>
      <c r="L2" s="33"/>
      <c r="M2" s="2"/>
      <c r="N2" s="33"/>
      <c r="O2" s="62"/>
      <c r="P2" s="33"/>
      <c r="Q2" s="2"/>
      <c r="R2" s="33"/>
      <c r="S2" s="2"/>
      <c r="T2" s="60"/>
    </row>
    <row r="3" spans="3:20" ht="14.25" customHeight="1" x14ac:dyDescent="0.25">
      <c r="C3" s="1"/>
      <c r="D3" s="1"/>
      <c r="E3" s="1" t="s">
        <v>49</v>
      </c>
      <c r="F3" s="1"/>
      <c r="G3" s="1"/>
      <c r="H3" s="1"/>
      <c r="I3" s="53"/>
      <c r="J3" s="33"/>
      <c r="K3" s="53"/>
      <c r="L3" s="33"/>
      <c r="M3" s="53"/>
      <c r="N3" s="33"/>
      <c r="O3" s="63"/>
      <c r="P3" s="33"/>
      <c r="Q3" s="53"/>
      <c r="R3" s="33"/>
      <c r="S3" s="53"/>
      <c r="T3" s="60"/>
    </row>
    <row r="4" spans="3:20" ht="14.25" customHeight="1" x14ac:dyDescent="0.25">
      <c r="C4" s="1"/>
      <c r="D4" s="1"/>
      <c r="E4" s="1"/>
      <c r="F4" s="1" t="s">
        <v>50</v>
      </c>
      <c r="G4" s="1"/>
      <c r="H4" s="1"/>
      <c r="I4" s="53"/>
      <c r="J4" s="33"/>
      <c r="K4" s="53"/>
      <c r="L4" s="33"/>
      <c r="M4" s="53"/>
      <c r="N4" s="33"/>
      <c r="O4" s="63"/>
      <c r="P4" s="33"/>
      <c r="Q4" s="53"/>
      <c r="R4" s="33"/>
      <c r="S4" s="53"/>
      <c r="T4" s="60"/>
    </row>
    <row r="5" spans="3:20" ht="14.25" customHeight="1" x14ac:dyDescent="0.25">
      <c r="C5" s="1"/>
      <c r="D5" s="1"/>
      <c r="E5" s="1"/>
      <c r="F5" s="1"/>
      <c r="G5" s="1" t="s">
        <v>90</v>
      </c>
      <c r="H5" s="1"/>
      <c r="I5" s="53">
        <v>30</v>
      </c>
      <c r="J5" s="33"/>
      <c r="K5" s="53">
        <v>0</v>
      </c>
      <c r="L5" s="33"/>
      <c r="M5" s="53">
        <v>0</v>
      </c>
      <c r="N5" s="33"/>
      <c r="O5" s="63">
        <v>0</v>
      </c>
      <c r="P5" s="33"/>
      <c r="Q5" s="53">
        <v>0</v>
      </c>
      <c r="R5" s="33"/>
      <c r="S5" s="53">
        <f>ROUND(SUM(I5:Q5),5)</f>
        <v>30</v>
      </c>
      <c r="T5" s="60"/>
    </row>
    <row r="6" spans="3:20" ht="14.25" customHeight="1" thickBot="1" x14ac:dyDescent="0.3">
      <c r="C6" s="1"/>
      <c r="D6" s="1"/>
      <c r="E6" s="1"/>
      <c r="F6" s="1"/>
      <c r="G6" s="1" t="s">
        <v>91</v>
      </c>
      <c r="H6" s="1"/>
      <c r="I6" s="54">
        <v>100</v>
      </c>
      <c r="J6" s="33"/>
      <c r="K6" s="54">
        <v>0</v>
      </c>
      <c r="L6" s="33"/>
      <c r="M6" s="54">
        <v>0</v>
      </c>
      <c r="N6" s="33"/>
      <c r="O6" s="64">
        <v>0</v>
      </c>
      <c r="P6" s="33"/>
      <c r="Q6" s="54">
        <v>0</v>
      </c>
      <c r="R6" s="33"/>
      <c r="S6" s="54">
        <f>ROUND(SUM(I6:Q6),5)</f>
        <v>100</v>
      </c>
      <c r="T6" s="60"/>
    </row>
    <row r="7" spans="3:20" ht="14.25" customHeight="1" x14ac:dyDescent="0.25">
      <c r="C7" s="1"/>
      <c r="D7" s="1"/>
      <c r="E7" s="1"/>
      <c r="F7" s="1" t="s">
        <v>92</v>
      </c>
      <c r="G7" s="1"/>
      <c r="H7" s="1"/>
      <c r="I7" s="53">
        <f>ROUND(I4+I6+I5,5)</f>
        <v>130</v>
      </c>
      <c r="J7" s="33"/>
      <c r="K7" s="53">
        <f>ROUND(K4+K6+K5,5)</f>
        <v>0</v>
      </c>
      <c r="L7" s="33"/>
      <c r="M7" s="53">
        <f>ROUND(M4+M6+M5,5)</f>
        <v>0</v>
      </c>
      <c r="N7" s="33"/>
      <c r="O7" s="63"/>
      <c r="P7" s="33"/>
      <c r="Q7" s="53">
        <f>ROUND(Q4+Q6+Q5,5)</f>
        <v>0</v>
      </c>
      <c r="R7" s="33"/>
      <c r="S7" s="53">
        <f>ROUND(SUM(I7:Q7),5)</f>
        <v>130</v>
      </c>
      <c r="T7" s="60"/>
    </row>
    <row r="8" spans="3:20" ht="14.25" customHeight="1" x14ac:dyDescent="0.25">
      <c r="C8" s="1"/>
      <c r="D8" s="1"/>
      <c r="E8" s="1"/>
      <c r="F8" s="1" t="s">
        <v>55</v>
      </c>
      <c r="G8" s="1"/>
      <c r="H8" s="1"/>
      <c r="I8" s="53"/>
      <c r="J8" s="33"/>
      <c r="K8" s="53"/>
      <c r="L8" s="33"/>
      <c r="M8" s="53"/>
      <c r="N8" s="33"/>
      <c r="O8" s="63"/>
      <c r="P8" s="33"/>
      <c r="Q8" s="53"/>
      <c r="R8" s="33"/>
      <c r="S8" s="53"/>
      <c r="T8" s="60"/>
    </row>
    <row r="9" spans="3:20" x14ac:dyDescent="0.25">
      <c r="C9" s="1"/>
      <c r="D9" s="1"/>
      <c r="E9" s="1"/>
      <c r="F9" s="1"/>
      <c r="G9" s="1" t="s">
        <v>93</v>
      </c>
      <c r="H9" s="1"/>
      <c r="I9" s="53">
        <v>300</v>
      </c>
      <c r="J9" s="33"/>
      <c r="K9" s="53">
        <v>0</v>
      </c>
      <c r="L9" s="33"/>
      <c r="M9" s="53">
        <v>0</v>
      </c>
      <c r="N9" s="33"/>
      <c r="O9" s="63">
        <v>0</v>
      </c>
      <c r="P9" s="33"/>
      <c r="Q9" s="53">
        <v>0</v>
      </c>
      <c r="R9" s="33"/>
      <c r="S9" s="53">
        <f>ROUND(SUM(I9:Q9),5)</f>
        <v>300</v>
      </c>
      <c r="T9" s="60"/>
    </row>
    <row r="10" spans="3:20" x14ac:dyDescent="0.25">
      <c r="C10" s="1"/>
      <c r="D10" s="1"/>
      <c r="E10" s="1"/>
      <c r="F10" s="1"/>
      <c r="G10" s="1" t="s">
        <v>57</v>
      </c>
      <c r="H10" s="1"/>
      <c r="I10" s="53"/>
      <c r="J10" s="33"/>
      <c r="K10" s="53"/>
      <c r="L10" s="33"/>
      <c r="M10" s="53"/>
      <c r="N10" s="33"/>
      <c r="O10" s="63"/>
      <c r="P10" s="33"/>
      <c r="Q10" s="53"/>
      <c r="R10" s="33"/>
      <c r="S10" s="53"/>
      <c r="T10" s="60"/>
    </row>
    <row r="11" spans="3:20" x14ac:dyDescent="0.25">
      <c r="C11" s="1"/>
      <c r="D11" s="1"/>
      <c r="E11" s="1"/>
      <c r="F11" s="1"/>
      <c r="G11" s="1"/>
      <c r="H11" s="1" t="s">
        <v>58</v>
      </c>
      <c r="I11" s="53">
        <v>0</v>
      </c>
      <c r="J11" s="33"/>
      <c r="K11" s="53"/>
      <c r="L11" s="33"/>
      <c r="M11" s="53"/>
      <c r="N11" s="33"/>
      <c r="O11" s="63"/>
      <c r="P11" s="33"/>
      <c r="Q11" s="53">
        <v>0</v>
      </c>
      <c r="R11" s="33"/>
      <c r="S11" s="53">
        <f t="shared" ref="S11:S16" si="0">ROUND(SUM(I11:Q11),5)</f>
        <v>0</v>
      </c>
      <c r="T11" s="60" t="s">
        <v>19</v>
      </c>
    </row>
    <row r="12" spans="3:20" x14ac:dyDescent="0.25">
      <c r="C12" s="1"/>
      <c r="D12" s="1"/>
      <c r="E12" s="1"/>
      <c r="F12" s="1"/>
      <c r="G12" s="1"/>
      <c r="H12" s="1" t="s">
        <v>59</v>
      </c>
      <c r="I12" s="53">
        <v>0</v>
      </c>
      <c r="J12" s="33"/>
      <c r="K12" s="53">
        <v>0</v>
      </c>
      <c r="L12" s="33"/>
      <c r="M12" s="53">
        <v>0</v>
      </c>
      <c r="N12" s="33"/>
      <c r="O12" s="63">
        <v>0</v>
      </c>
      <c r="P12" s="33"/>
      <c r="Q12" s="53">
        <v>0</v>
      </c>
      <c r="R12" s="33"/>
      <c r="S12" s="53">
        <f t="shared" si="0"/>
        <v>0</v>
      </c>
      <c r="T12" s="60"/>
    </row>
    <row r="13" spans="3:20" ht="15.75" thickBot="1" x14ac:dyDescent="0.3">
      <c r="C13" s="1"/>
      <c r="D13" s="1"/>
      <c r="E13" s="1"/>
      <c r="F13" s="1"/>
      <c r="G13" s="1"/>
      <c r="H13" s="1" t="s">
        <v>60</v>
      </c>
      <c r="I13" s="55">
        <v>0</v>
      </c>
      <c r="J13" s="33"/>
      <c r="K13" s="55">
        <f>K61*K63</f>
        <v>108000</v>
      </c>
      <c r="L13" s="33"/>
      <c r="M13" s="55">
        <f>M61*M63</f>
        <v>36000</v>
      </c>
      <c r="N13" s="33"/>
      <c r="O13" s="65">
        <f>O61*O63</f>
        <v>54000</v>
      </c>
      <c r="P13" s="33"/>
      <c r="Q13" s="55">
        <v>0</v>
      </c>
      <c r="R13" s="33"/>
      <c r="S13" s="55">
        <f t="shared" si="0"/>
        <v>198000</v>
      </c>
      <c r="T13" s="60"/>
    </row>
    <row r="14" spans="3:20" ht="15.75" thickBot="1" x14ac:dyDescent="0.3">
      <c r="C14" s="1"/>
      <c r="D14" s="1"/>
      <c r="E14" s="1"/>
      <c r="F14" s="1"/>
      <c r="G14" s="1" t="s">
        <v>61</v>
      </c>
      <c r="H14" s="1"/>
      <c r="I14" s="56">
        <f>ROUND(SUM(I10:I13),5)</f>
        <v>0</v>
      </c>
      <c r="J14" s="33"/>
      <c r="K14" s="56">
        <f>ROUND(SUM(K10:K13),5)</f>
        <v>108000</v>
      </c>
      <c r="L14" s="33"/>
      <c r="M14" s="56">
        <f>ROUND(SUM(M10:M13),5)</f>
        <v>36000</v>
      </c>
      <c r="N14" s="56">
        <f t="shared" ref="N14:O14" si="1">ROUND(SUM(N10:N13),5)</f>
        <v>0</v>
      </c>
      <c r="O14" s="66">
        <f t="shared" si="1"/>
        <v>54000</v>
      </c>
      <c r="P14" s="33"/>
      <c r="Q14" s="56">
        <f>ROUND(SUM(Q10:Q13),5)</f>
        <v>0</v>
      </c>
      <c r="R14" s="33"/>
      <c r="S14" s="56">
        <f t="shared" si="0"/>
        <v>198000</v>
      </c>
      <c r="T14" s="60"/>
    </row>
    <row r="15" spans="3:20" ht="15.75" thickBot="1" x14ac:dyDescent="0.3">
      <c r="C15" s="1"/>
      <c r="D15" s="1"/>
      <c r="E15" s="1"/>
      <c r="F15" s="1" t="s">
        <v>62</v>
      </c>
      <c r="G15" s="1"/>
      <c r="H15" s="1"/>
      <c r="I15" s="57">
        <f>ROUND(I8+I14+I9,5)</f>
        <v>300</v>
      </c>
      <c r="J15" s="33"/>
      <c r="K15" s="57">
        <f>ROUND(K8+K14+K9,5)</f>
        <v>108000</v>
      </c>
      <c r="L15" s="33"/>
      <c r="M15" s="57">
        <f>ROUND(M8+M14+M9,5)</f>
        <v>36000</v>
      </c>
      <c r="N15" s="57">
        <f t="shared" ref="N15:O15" si="2">ROUND(N8+N14+N9,5)</f>
        <v>0</v>
      </c>
      <c r="O15" s="67">
        <f t="shared" si="2"/>
        <v>54000</v>
      </c>
      <c r="P15" s="33"/>
      <c r="Q15" s="57">
        <f>ROUND(Q8+Q14+Q9,5)</f>
        <v>0</v>
      </c>
      <c r="R15" s="33"/>
      <c r="S15" s="57">
        <f t="shared" si="0"/>
        <v>198300</v>
      </c>
      <c r="T15" s="60"/>
    </row>
    <row r="16" spans="3:20" x14ac:dyDescent="0.25">
      <c r="C16" s="1"/>
      <c r="D16" s="1"/>
      <c r="E16" s="1" t="s">
        <v>63</v>
      </c>
      <c r="F16" s="1"/>
      <c r="G16" s="1"/>
      <c r="H16" s="1"/>
      <c r="I16" s="53">
        <f>ROUND(I3+I7+I15,5)</f>
        <v>430</v>
      </c>
      <c r="J16" s="33"/>
      <c r="K16" s="53">
        <f>ROUND(K3+K7+K15,5)</f>
        <v>108000</v>
      </c>
      <c r="L16" s="33"/>
      <c r="M16" s="53">
        <f>ROUND(M3+M7+M15,5)</f>
        <v>36000</v>
      </c>
      <c r="N16" s="53">
        <f t="shared" ref="N16:O16" si="3">ROUND(N3+N7+N15,5)</f>
        <v>0</v>
      </c>
      <c r="O16" s="63">
        <f t="shared" si="3"/>
        <v>54000</v>
      </c>
      <c r="P16" s="33"/>
      <c r="Q16" s="53">
        <f>ROUND(Q3+Q7+Q15,5)</f>
        <v>0</v>
      </c>
      <c r="R16" s="33"/>
      <c r="S16" s="53">
        <f t="shared" si="0"/>
        <v>198430</v>
      </c>
      <c r="T16" s="60"/>
    </row>
    <row r="17" spans="3:20" x14ac:dyDescent="0.25">
      <c r="C17" s="1"/>
      <c r="D17" s="1"/>
      <c r="E17" s="1" t="s">
        <v>64</v>
      </c>
      <c r="F17" s="1"/>
      <c r="G17" s="1"/>
      <c r="H17" s="1"/>
      <c r="I17" s="53"/>
      <c r="J17" s="33"/>
      <c r="K17" s="53"/>
      <c r="L17" s="33"/>
      <c r="M17" s="53"/>
      <c r="N17" s="33"/>
      <c r="O17" s="63"/>
      <c r="P17" s="33"/>
      <c r="Q17" s="53"/>
      <c r="R17" s="33"/>
      <c r="S17" s="53"/>
      <c r="T17" s="60"/>
    </row>
    <row r="18" spans="3:20" x14ac:dyDescent="0.25">
      <c r="C18" s="1"/>
      <c r="D18" s="1"/>
      <c r="E18" s="1"/>
      <c r="F18" s="1" t="s">
        <v>94</v>
      </c>
      <c r="G18" s="1"/>
      <c r="H18" s="1"/>
      <c r="I18" s="53"/>
      <c r="J18" s="33"/>
      <c r="K18" s="53"/>
      <c r="L18" s="33"/>
      <c r="M18" s="53"/>
      <c r="N18" s="33"/>
      <c r="O18" s="63"/>
      <c r="P18" s="33"/>
      <c r="Q18" s="53"/>
      <c r="R18" s="33"/>
      <c r="S18" s="53"/>
      <c r="T18" s="60"/>
    </row>
    <row r="19" spans="3:20" ht="15.75" thickBot="1" x14ac:dyDescent="0.3">
      <c r="C19" s="1"/>
      <c r="D19" s="1"/>
      <c r="E19" s="1"/>
      <c r="F19" s="1"/>
      <c r="G19" s="1" t="s">
        <v>95</v>
      </c>
      <c r="H19" s="1"/>
      <c r="I19" s="54">
        <v>30</v>
      </c>
      <c r="J19" s="33"/>
      <c r="K19" s="54">
        <v>0</v>
      </c>
      <c r="L19" s="33"/>
      <c r="M19" s="54">
        <v>0</v>
      </c>
      <c r="N19" s="33"/>
      <c r="O19" s="64">
        <v>0</v>
      </c>
      <c r="P19" s="33"/>
      <c r="Q19" s="54">
        <v>0</v>
      </c>
      <c r="R19" s="33"/>
      <c r="S19" s="54">
        <f>ROUND(SUM(I19:Q19),5)</f>
        <v>30</v>
      </c>
      <c r="T19" s="60"/>
    </row>
    <row r="20" spans="3:20" x14ac:dyDescent="0.25">
      <c r="C20" s="1"/>
      <c r="D20" s="1"/>
      <c r="E20" s="1"/>
      <c r="F20" s="1" t="s">
        <v>96</v>
      </c>
      <c r="G20" s="1"/>
      <c r="H20" s="1"/>
      <c r="I20" s="53">
        <f>ROUND(SUM(I18:I19),5)</f>
        <v>30</v>
      </c>
      <c r="J20" s="33"/>
      <c r="K20" s="53">
        <f>ROUND(SUM(K18:K19),5)</f>
        <v>0</v>
      </c>
      <c r="L20" s="33"/>
      <c r="M20" s="53">
        <f>ROUND(SUM(M18:M19),5)</f>
        <v>0</v>
      </c>
      <c r="N20" s="33"/>
      <c r="O20" s="63"/>
      <c r="P20" s="33"/>
      <c r="Q20" s="53">
        <f>ROUND(SUM(Q18:Q19),5)</f>
        <v>0</v>
      </c>
      <c r="R20" s="33"/>
      <c r="S20" s="53">
        <f>ROUND(SUM(I20:Q20),5)</f>
        <v>30</v>
      </c>
      <c r="T20" s="60"/>
    </row>
    <row r="21" spans="3:20" x14ac:dyDescent="0.25">
      <c r="C21" s="1"/>
      <c r="D21" s="1"/>
      <c r="E21" s="1"/>
      <c r="F21" s="1" t="s">
        <v>97</v>
      </c>
      <c r="G21" s="1"/>
      <c r="H21" s="1"/>
      <c r="I21" s="53"/>
      <c r="J21" s="33"/>
      <c r="K21" s="53"/>
      <c r="L21" s="33"/>
      <c r="M21" s="53"/>
      <c r="N21" s="33"/>
      <c r="O21" s="63"/>
      <c r="P21" s="33"/>
      <c r="Q21" s="53"/>
      <c r="R21" s="33"/>
      <c r="S21" s="53"/>
      <c r="T21" s="60"/>
    </row>
    <row r="22" spans="3:20" ht="15.75" thickBot="1" x14ac:dyDescent="0.3">
      <c r="C22" s="1"/>
      <c r="D22" s="1"/>
      <c r="E22" s="1"/>
      <c r="F22" s="1"/>
      <c r="G22" s="1" t="s">
        <v>98</v>
      </c>
      <c r="H22" s="1"/>
      <c r="I22" s="54">
        <v>400</v>
      </c>
      <c r="J22" s="33"/>
      <c r="K22" s="54">
        <v>0</v>
      </c>
      <c r="L22" s="33"/>
      <c r="M22" s="54">
        <v>0</v>
      </c>
      <c r="N22" s="33"/>
      <c r="O22" s="64">
        <v>0</v>
      </c>
      <c r="P22" s="33"/>
      <c r="Q22" s="54">
        <v>0</v>
      </c>
      <c r="R22" s="33"/>
      <c r="S22" s="54">
        <f>ROUND(SUM(I22:Q22),5)</f>
        <v>400</v>
      </c>
      <c r="T22" s="60" t="s">
        <v>33</v>
      </c>
    </row>
    <row r="23" spans="3:20" x14ac:dyDescent="0.25">
      <c r="C23" s="1"/>
      <c r="D23" s="1"/>
      <c r="E23" s="1"/>
      <c r="F23" s="1" t="s">
        <v>99</v>
      </c>
      <c r="G23" s="1"/>
      <c r="H23" s="1"/>
      <c r="I23" s="53">
        <f>ROUND(SUM(I21:I22),5)</f>
        <v>400</v>
      </c>
      <c r="J23" s="33"/>
      <c r="K23" s="53">
        <f>ROUND(SUM(K21:K22),5)</f>
        <v>0</v>
      </c>
      <c r="L23" s="33"/>
      <c r="M23" s="53">
        <f>ROUND(SUM(M21:M22),5)</f>
        <v>0</v>
      </c>
      <c r="N23" s="33"/>
      <c r="O23" s="63"/>
      <c r="P23" s="33"/>
      <c r="Q23" s="53">
        <f>ROUND(SUM(Q21:Q22),5)</f>
        <v>0</v>
      </c>
      <c r="R23" s="33"/>
      <c r="S23" s="53">
        <f>ROUND(SUM(I23:Q23),5)</f>
        <v>400</v>
      </c>
      <c r="T23" s="60"/>
    </row>
    <row r="24" spans="3:20" x14ac:dyDescent="0.25">
      <c r="C24" s="1"/>
      <c r="D24" s="1"/>
      <c r="E24" s="1"/>
      <c r="F24" s="1" t="s">
        <v>68</v>
      </c>
      <c r="G24" s="1"/>
      <c r="H24" s="1"/>
      <c r="I24" s="53"/>
      <c r="J24" s="33"/>
      <c r="K24" s="53"/>
      <c r="L24" s="33"/>
      <c r="M24" s="53"/>
      <c r="N24" s="33"/>
      <c r="O24" s="63"/>
      <c r="P24" s="33"/>
      <c r="Q24" s="53"/>
      <c r="R24" s="33"/>
      <c r="S24" s="53"/>
      <c r="T24" s="60"/>
    </row>
    <row r="25" spans="3:20" x14ac:dyDescent="0.25">
      <c r="C25" s="1"/>
      <c r="D25" s="1"/>
      <c r="E25" s="1"/>
      <c r="F25" s="1"/>
      <c r="G25" s="1" t="s">
        <v>100</v>
      </c>
      <c r="H25" s="1"/>
      <c r="I25" s="53">
        <v>10</v>
      </c>
      <c r="J25" s="33"/>
      <c r="K25" s="53">
        <v>0</v>
      </c>
      <c r="L25" s="33"/>
      <c r="M25" s="53">
        <v>0</v>
      </c>
      <c r="N25" s="33"/>
      <c r="O25" s="63">
        <v>0</v>
      </c>
      <c r="P25" s="33"/>
      <c r="Q25" s="53">
        <v>0</v>
      </c>
      <c r="R25" s="33"/>
      <c r="S25" s="53">
        <f>ROUND(SUM(I25:Q25),5)</f>
        <v>10</v>
      </c>
      <c r="T25" s="60" t="s">
        <v>34</v>
      </c>
    </row>
    <row r="26" spans="3:20" x14ac:dyDescent="0.25">
      <c r="C26" s="1"/>
      <c r="D26" s="1"/>
      <c r="E26" s="1"/>
      <c r="F26" s="1"/>
      <c r="G26" s="1" t="s">
        <v>69</v>
      </c>
      <c r="H26" s="1"/>
      <c r="I26" s="53">
        <v>100</v>
      </c>
      <c r="J26" s="33"/>
      <c r="K26" s="53">
        <v>0</v>
      </c>
      <c r="L26" s="33"/>
      <c r="M26" s="53">
        <v>0</v>
      </c>
      <c r="N26" s="33"/>
      <c r="O26" s="63"/>
      <c r="P26" s="33"/>
      <c r="Q26" s="53">
        <v>0</v>
      </c>
      <c r="R26" s="33"/>
      <c r="S26" s="53">
        <f>ROUND(SUM(I26:Q26),5)</f>
        <v>100</v>
      </c>
      <c r="T26" s="60"/>
    </row>
    <row r="27" spans="3:20" x14ac:dyDescent="0.25">
      <c r="C27" s="1"/>
      <c r="D27" s="1"/>
      <c r="E27" s="1"/>
      <c r="F27" s="1"/>
      <c r="G27" s="1" t="s">
        <v>70</v>
      </c>
      <c r="H27" s="1"/>
      <c r="I27" s="53">
        <v>0</v>
      </c>
      <c r="J27" s="33"/>
      <c r="K27" s="53">
        <v>0</v>
      </c>
      <c r="L27" s="33"/>
      <c r="M27" s="53">
        <v>0</v>
      </c>
      <c r="N27" s="33"/>
      <c r="O27" s="63"/>
      <c r="P27" s="33"/>
      <c r="Q27" s="53">
        <v>0</v>
      </c>
      <c r="R27" s="33"/>
      <c r="S27" s="53">
        <f>ROUND(SUM(I27:Q27),5)</f>
        <v>0</v>
      </c>
      <c r="T27" s="60"/>
    </row>
    <row r="28" spans="3:20" ht="15.75" thickBot="1" x14ac:dyDescent="0.3">
      <c r="C28" s="1"/>
      <c r="D28" s="1"/>
      <c r="E28" s="1"/>
      <c r="F28" s="1"/>
      <c r="G28" s="1" t="s">
        <v>101</v>
      </c>
      <c r="H28" s="1"/>
      <c r="I28" s="54">
        <v>800</v>
      </c>
      <c r="J28" s="33"/>
      <c r="K28" s="54">
        <v>0</v>
      </c>
      <c r="L28" s="33"/>
      <c r="M28" s="54">
        <v>0</v>
      </c>
      <c r="N28" s="33"/>
      <c r="O28" s="64"/>
      <c r="P28" s="33"/>
      <c r="Q28" s="54">
        <v>0</v>
      </c>
      <c r="R28" s="33"/>
      <c r="S28" s="54">
        <f>ROUND(SUM(I28:Q28),5)</f>
        <v>800</v>
      </c>
      <c r="T28" s="60" t="s">
        <v>32</v>
      </c>
    </row>
    <row r="29" spans="3:20" x14ac:dyDescent="0.25">
      <c r="C29" s="1"/>
      <c r="D29" s="1"/>
      <c r="E29" s="1"/>
      <c r="F29" s="1" t="s">
        <v>71</v>
      </c>
      <c r="G29" s="1"/>
      <c r="H29" s="1"/>
      <c r="I29" s="53">
        <f>ROUND(I24+I26+I25+I28+I27,5)</f>
        <v>910</v>
      </c>
      <c r="J29" s="33"/>
      <c r="K29" s="53">
        <f>ROUND(K24+K26+K25+K28+K27,5)</f>
        <v>0</v>
      </c>
      <c r="L29" s="33"/>
      <c r="M29" s="53">
        <f>ROUND(M24+M26+M25+M28+M27,5)</f>
        <v>0</v>
      </c>
      <c r="N29" s="33"/>
      <c r="O29" s="63"/>
      <c r="P29" s="33"/>
      <c r="Q29" s="53">
        <f>ROUND(Q24+Q26+Q25+Q28+Q27,5)</f>
        <v>0</v>
      </c>
      <c r="R29" s="33"/>
      <c r="S29" s="53">
        <f>ROUND(SUM(I29:Q29),5)</f>
        <v>910</v>
      </c>
      <c r="T29" s="60"/>
    </row>
    <row r="30" spans="3:20" x14ac:dyDescent="0.25">
      <c r="C30" s="1"/>
      <c r="D30" s="1"/>
      <c r="E30" s="1"/>
      <c r="F30" s="1" t="s">
        <v>65</v>
      </c>
      <c r="G30" s="1"/>
      <c r="H30" s="1"/>
      <c r="I30" s="53"/>
      <c r="J30" s="33"/>
      <c r="K30" s="53"/>
      <c r="L30" s="33"/>
      <c r="M30" s="53"/>
      <c r="N30" s="33"/>
      <c r="O30" s="63"/>
      <c r="P30" s="33"/>
      <c r="Q30" s="53"/>
      <c r="R30" s="33"/>
      <c r="S30" s="53"/>
      <c r="T30" s="60"/>
    </row>
    <row r="31" spans="3:20" x14ac:dyDescent="0.25">
      <c r="C31" s="1"/>
      <c r="D31" s="1"/>
      <c r="E31" s="1"/>
      <c r="F31" s="1"/>
      <c r="G31" s="1" t="s">
        <v>66</v>
      </c>
      <c r="H31" s="1"/>
      <c r="I31" s="53">
        <f>20*20*12</f>
        <v>4800</v>
      </c>
      <c r="J31" s="33"/>
      <c r="K31" s="53">
        <v>0</v>
      </c>
      <c r="L31" s="33"/>
      <c r="M31" s="53">
        <v>0</v>
      </c>
      <c r="N31" s="33"/>
      <c r="O31" s="63"/>
      <c r="P31" s="33"/>
      <c r="Q31" s="53">
        <v>0</v>
      </c>
      <c r="R31" s="33"/>
      <c r="S31" s="53">
        <f>ROUND(SUM(I31:Q31),5)</f>
        <v>4800</v>
      </c>
      <c r="T31" s="60" t="s">
        <v>21</v>
      </c>
    </row>
    <row r="32" spans="3:20" ht="15.75" thickBot="1" x14ac:dyDescent="0.3">
      <c r="C32" s="1"/>
      <c r="D32" s="1"/>
      <c r="E32" s="1"/>
      <c r="F32" s="1"/>
      <c r="G32" s="1" t="s">
        <v>102</v>
      </c>
      <c r="H32" s="1"/>
      <c r="I32" s="54">
        <f>400*4+300</f>
        <v>1900</v>
      </c>
      <c r="J32" s="33"/>
      <c r="K32" s="54">
        <v>0</v>
      </c>
      <c r="L32" s="33"/>
      <c r="M32" s="54">
        <v>0</v>
      </c>
      <c r="N32" s="33"/>
      <c r="O32" s="64"/>
      <c r="P32" s="33"/>
      <c r="Q32" s="54">
        <v>0</v>
      </c>
      <c r="R32" s="33"/>
      <c r="S32" s="54">
        <f>ROUND(SUM(I32:Q32),5)</f>
        <v>1900</v>
      </c>
      <c r="T32" s="60"/>
    </row>
    <row r="33" spans="3:20" x14ac:dyDescent="0.25">
      <c r="C33" s="1"/>
      <c r="D33" s="1"/>
      <c r="E33" s="1"/>
      <c r="F33" s="1" t="s">
        <v>67</v>
      </c>
      <c r="G33" s="1"/>
      <c r="H33" s="1"/>
      <c r="I33" s="53">
        <f>ROUND(I30+I32+I31,5)</f>
        <v>6700</v>
      </c>
      <c r="J33" s="33"/>
      <c r="K33" s="53">
        <f>ROUND(K30+K32+K31,5)</f>
        <v>0</v>
      </c>
      <c r="L33" s="33"/>
      <c r="M33" s="53">
        <f>ROUND(M30+M32+M31,5)</f>
        <v>0</v>
      </c>
      <c r="N33" s="33"/>
      <c r="O33" s="63"/>
      <c r="P33" s="33"/>
      <c r="Q33" s="53">
        <f>ROUND(Q30+Q32+Q31,5)</f>
        <v>0</v>
      </c>
      <c r="R33" s="33"/>
      <c r="S33" s="53">
        <f>ROUND(SUM(I33:Q33),5)</f>
        <v>6700</v>
      </c>
      <c r="T33" s="60"/>
    </row>
    <row r="34" spans="3:20" x14ac:dyDescent="0.25">
      <c r="C34" s="1"/>
      <c r="D34" s="1"/>
      <c r="E34" s="1"/>
      <c r="F34" s="1" t="s">
        <v>72</v>
      </c>
      <c r="G34" s="1"/>
      <c r="H34" s="1"/>
      <c r="I34" s="53"/>
      <c r="J34" s="33"/>
      <c r="K34" s="53"/>
      <c r="L34" s="33"/>
      <c r="M34" s="53"/>
      <c r="N34" s="33"/>
      <c r="O34" s="63"/>
      <c r="P34" s="33"/>
      <c r="Q34" s="53"/>
      <c r="R34" s="33"/>
      <c r="S34" s="53"/>
      <c r="T34" s="60"/>
    </row>
    <row r="35" spans="3:20" x14ac:dyDescent="0.25">
      <c r="C35" s="1"/>
      <c r="D35" s="1"/>
      <c r="E35" s="1"/>
      <c r="F35" s="1"/>
      <c r="G35" s="1" t="s">
        <v>77</v>
      </c>
      <c r="H35" s="1"/>
      <c r="I35" s="53">
        <v>20</v>
      </c>
      <c r="J35" s="33"/>
      <c r="K35" s="53">
        <f>300*0.5</f>
        <v>150</v>
      </c>
      <c r="L35" s="33"/>
      <c r="M35" s="53">
        <v>65</v>
      </c>
      <c r="N35" s="33"/>
      <c r="O35" s="63">
        <v>65</v>
      </c>
      <c r="P35" s="33"/>
      <c r="Q35" s="53">
        <v>0</v>
      </c>
      <c r="R35" s="33"/>
      <c r="S35" s="53">
        <f t="shared" ref="S35:S47" si="4">ROUND(SUM(I35:Q35),5)</f>
        <v>300</v>
      </c>
      <c r="T35" s="60" t="s">
        <v>22</v>
      </c>
    </row>
    <row r="36" spans="3:20" x14ac:dyDescent="0.25">
      <c r="C36" s="1"/>
      <c r="D36" s="1"/>
      <c r="E36" s="1"/>
      <c r="F36" s="1"/>
      <c r="G36" s="1" t="s">
        <v>103</v>
      </c>
      <c r="H36" s="1"/>
      <c r="I36" s="53">
        <v>0</v>
      </c>
      <c r="J36" s="33"/>
      <c r="K36" s="53">
        <v>300</v>
      </c>
      <c r="L36" s="33"/>
      <c r="M36" s="53">
        <v>150</v>
      </c>
      <c r="O36" s="63">
        <v>150</v>
      </c>
      <c r="P36" s="33"/>
      <c r="Q36" s="53">
        <v>0</v>
      </c>
      <c r="R36" s="33"/>
      <c r="S36" s="53">
        <f t="shared" si="4"/>
        <v>600</v>
      </c>
      <c r="T36" s="60"/>
    </row>
    <row r="37" spans="3:20" x14ac:dyDescent="0.25">
      <c r="C37" s="1"/>
      <c r="D37" s="1"/>
      <c r="E37" s="1"/>
      <c r="F37" s="1"/>
      <c r="G37" s="1" t="s">
        <v>0</v>
      </c>
      <c r="H37" s="1"/>
      <c r="I37" s="53">
        <v>0</v>
      </c>
      <c r="J37" s="33"/>
      <c r="K37" s="53">
        <v>400</v>
      </c>
      <c r="L37" s="33"/>
      <c r="M37" s="53">
        <v>400</v>
      </c>
      <c r="N37" s="33"/>
      <c r="O37" s="63">
        <v>400</v>
      </c>
      <c r="P37" s="33"/>
      <c r="Q37" s="53">
        <v>0</v>
      </c>
      <c r="R37" s="33"/>
      <c r="S37" s="53">
        <f t="shared" si="4"/>
        <v>1200</v>
      </c>
      <c r="T37" s="60"/>
    </row>
    <row r="38" spans="3:20" x14ac:dyDescent="0.25">
      <c r="C38" s="1"/>
      <c r="D38" s="1"/>
      <c r="E38" s="1"/>
      <c r="F38" s="1"/>
      <c r="G38" s="1" t="s">
        <v>1</v>
      </c>
      <c r="H38" s="1"/>
      <c r="I38" s="53">
        <v>0</v>
      </c>
      <c r="J38" s="33"/>
      <c r="K38" s="53">
        <v>300.57</v>
      </c>
      <c r="L38" s="33"/>
      <c r="M38" s="53">
        <v>25</v>
      </c>
      <c r="N38" s="33"/>
      <c r="O38" s="63">
        <v>25</v>
      </c>
      <c r="P38" s="33"/>
      <c r="Q38" s="53">
        <v>0</v>
      </c>
      <c r="R38" s="33"/>
      <c r="S38" s="53">
        <f t="shared" si="4"/>
        <v>350.57</v>
      </c>
      <c r="T38" s="60" t="s">
        <v>31</v>
      </c>
    </row>
    <row r="39" spans="3:20" x14ac:dyDescent="0.25">
      <c r="C39" s="1"/>
      <c r="D39" s="1"/>
      <c r="E39" s="1"/>
      <c r="F39" s="1"/>
      <c r="G39" s="1" t="s">
        <v>79</v>
      </c>
      <c r="H39" s="1"/>
      <c r="I39" s="53">
        <v>0</v>
      </c>
      <c r="J39" s="33"/>
      <c r="K39" s="53">
        <v>600</v>
      </c>
      <c r="L39" s="33"/>
      <c r="M39" s="53">
        <v>250</v>
      </c>
      <c r="N39" s="33"/>
      <c r="O39" s="63">
        <v>300</v>
      </c>
      <c r="P39" s="33"/>
      <c r="Q39" s="53">
        <v>0</v>
      </c>
      <c r="R39" s="33"/>
      <c r="S39" s="53">
        <f t="shared" si="4"/>
        <v>1150</v>
      </c>
      <c r="T39" s="60" t="s">
        <v>37</v>
      </c>
    </row>
    <row r="40" spans="3:20" x14ac:dyDescent="0.25">
      <c r="C40" s="1"/>
      <c r="D40" s="1"/>
      <c r="E40" s="1"/>
      <c r="F40" s="1"/>
      <c r="G40" s="1" t="s">
        <v>2</v>
      </c>
      <c r="H40" s="1"/>
      <c r="I40" s="53">
        <v>0</v>
      </c>
      <c r="J40" s="33"/>
      <c r="K40" s="53">
        <v>550</v>
      </c>
      <c r="L40" s="33"/>
      <c r="M40" s="53">
        <v>0</v>
      </c>
      <c r="N40" s="33"/>
      <c r="O40" s="63">
        <v>0</v>
      </c>
      <c r="P40" s="33"/>
      <c r="Q40" s="53">
        <v>0</v>
      </c>
      <c r="R40" s="33"/>
      <c r="S40" s="53">
        <f t="shared" si="4"/>
        <v>550</v>
      </c>
      <c r="T40" s="60" t="s">
        <v>38</v>
      </c>
    </row>
    <row r="41" spans="3:20" x14ac:dyDescent="0.25">
      <c r="C41" s="1"/>
      <c r="D41" s="1"/>
      <c r="E41" s="1"/>
      <c r="F41" s="1"/>
      <c r="G41" s="1" t="s">
        <v>78</v>
      </c>
      <c r="H41" s="1"/>
      <c r="I41" s="53">
        <v>450</v>
      </c>
      <c r="J41" s="33"/>
      <c r="K41" s="53">
        <f>K60*50</f>
        <v>1000</v>
      </c>
      <c r="L41" s="33"/>
      <c r="M41" s="53">
        <f>M60*50</f>
        <v>400</v>
      </c>
      <c r="N41" s="33"/>
      <c r="O41" s="53">
        <f>O60*50</f>
        <v>600</v>
      </c>
      <c r="P41" s="33"/>
      <c r="Q41" s="53">
        <v>0</v>
      </c>
      <c r="R41" s="33"/>
      <c r="S41" s="53">
        <f t="shared" si="4"/>
        <v>2450</v>
      </c>
      <c r="T41" s="60" t="s">
        <v>23</v>
      </c>
    </row>
    <row r="42" spans="3:20" x14ac:dyDescent="0.25">
      <c r="C42" s="1"/>
      <c r="D42" s="1"/>
      <c r="E42" s="1"/>
      <c r="F42" s="1"/>
      <c r="G42" s="1" t="s">
        <v>76</v>
      </c>
      <c r="H42" s="1"/>
      <c r="I42" s="53">
        <f>60*12</f>
        <v>720</v>
      </c>
      <c r="J42" s="33"/>
      <c r="K42" s="53">
        <v>0</v>
      </c>
      <c r="L42" s="33"/>
      <c r="M42" s="53">
        <v>0</v>
      </c>
      <c r="N42" s="33"/>
      <c r="O42" s="63">
        <v>0</v>
      </c>
      <c r="P42" s="33"/>
      <c r="Q42" s="53">
        <v>0</v>
      </c>
      <c r="R42" s="33"/>
      <c r="S42" s="53">
        <f t="shared" si="4"/>
        <v>720</v>
      </c>
      <c r="T42" s="60"/>
    </row>
    <row r="43" spans="3:20" x14ac:dyDescent="0.25">
      <c r="C43" s="1"/>
      <c r="D43" s="1"/>
      <c r="E43" s="1"/>
      <c r="F43" s="1"/>
      <c r="G43" s="1" t="s">
        <v>3</v>
      </c>
      <c r="H43" s="1"/>
      <c r="I43" s="53">
        <v>0</v>
      </c>
      <c r="J43" s="33"/>
      <c r="K43" s="53">
        <v>900</v>
      </c>
      <c r="L43" s="33"/>
      <c r="M43" s="53">
        <v>0</v>
      </c>
      <c r="N43" s="33"/>
      <c r="O43" s="63">
        <v>0</v>
      </c>
      <c r="P43" s="33"/>
      <c r="Q43" s="53">
        <v>0</v>
      </c>
      <c r="R43" s="33"/>
      <c r="S43" s="53">
        <f t="shared" si="4"/>
        <v>900</v>
      </c>
      <c r="T43" s="60" t="s">
        <v>24</v>
      </c>
    </row>
    <row r="44" spans="3:20" x14ac:dyDescent="0.25">
      <c r="C44" s="1"/>
      <c r="D44" s="1"/>
      <c r="E44" s="1"/>
      <c r="F44" s="1"/>
      <c r="G44" s="1" t="s">
        <v>4</v>
      </c>
      <c r="H44" s="1"/>
      <c r="I44" s="53">
        <v>0</v>
      </c>
      <c r="J44" s="33"/>
      <c r="K44" s="53">
        <v>0</v>
      </c>
      <c r="L44" s="33"/>
      <c r="M44" s="53">
        <v>0</v>
      </c>
      <c r="N44" s="33"/>
      <c r="O44" s="63">
        <v>0</v>
      </c>
      <c r="P44" s="33"/>
      <c r="Q44" s="53">
        <v>0</v>
      </c>
      <c r="R44" s="33"/>
      <c r="S44" s="53">
        <f t="shared" si="4"/>
        <v>0</v>
      </c>
      <c r="T44" s="60"/>
    </row>
    <row r="45" spans="3:20" x14ac:dyDescent="0.25">
      <c r="C45" s="1"/>
      <c r="D45" s="1"/>
      <c r="E45" s="1"/>
      <c r="F45" s="1"/>
      <c r="G45" s="1" t="s">
        <v>83</v>
      </c>
      <c r="H45" s="1"/>
      <c r="I45" s="53">
        <v>0</v>
      </c>
      <c r="J45" s="33"/>
      <c r="K45" s="53">
        <v>2400</v>
      </c>
      <c r="L45" s="33"/>
      <c r="M45" s="53">
        <v>1200</v>
      </c>
      <c r="N45" s="33"/>
      <c r="O45" s="63">
        <v>1400</v>
      </c>
      <c r="P45" s="33"/>
      <c r="Q45" s="53">
        <v>0</v>
      </c>
      <c r="R45" s="33"/>
      <c r="S45" s="53">
        <f t="shared" si="4"/>
        <v>5000</v>
      </c>
      <c r="T45" s="60" t="s">
        <v>39</v>
      </c>
    </row>
    <row r="46" spans="3:20" x14ac:dyDescent="0.25">
      <c r="C46" s="1"/>
      <c r="D46" s="1"/>
      <c r="E46" s="1"/>
      <c r="F46" s="1"/>
      <c r="G46" s="1" t="s">
        <v>80</v>
      </c>
      <c r="H46" s="1"/>
      <c r="I46" s="53">
        <v>500</v>
      </c>
      <c r="J46" s="33"/>
      <c r="K46" s="53">
        <v>2300</v>
      </c>
      <c r="L46" s="33"/>
      <c r="M46" s="53">
        <v>1000</v>
      </c>
      <c r="N46" s="33"/>
      <c r="O46" s="63">
        <v>1200</v>
      </c>
      <c r="P46" s="33"/>
      <c r="Q46" s="53">
        <v>0</v>
      </c>
      <c r="R46" s="33"/>
      <c r="S46" s="53">
        <f t="shared" si="4"/>
        <v>5000</v>
      </c>
      <c r="T46" s="60" t="s">
        <v>41</v>
      </c>
    </row>
    <row r="47" spans="3:20" ht="24.75" customHeight="1" x14ac:dyDescent="0.25">
      <c r="C47" s="1"/>
      <c r="D47" s="1"/>
      <c r="E47" s="1"/>
      <c r="F47" s="1"/>
      <c r="G47" s="1" t="s">
        <v>82</v>
      </c>
      <c r="H47" s="1"/>
      <c r="I47" s="53">
        <v>0</v>
      </c>
      <c r="J47" s="33"/>
      <c r="K47" s="53">
        <v>4000</v>
      </c>
      <c r="L47" s="33"/>
      <c r="M47" s="53">
        <v>1200</v>
      </c>
      <c r="N47" s="33"/>
      <c r="O47" s="63">
        <v>1500</v>
      </c>
      <c r="P47" s="33"/>
      <c r="Q47" s="53">
        <v>0</v>
      </c>
      <c r="R47" s="33"/>
      <c r="S47" s="53">
        <f t="shared" si="4"/>
        <v>6700</v>
      </c>
      <c r="T47" s="79" t="s">
        <v>42</v>
      </c>
    </row>
    <row r="48" spans="3:20" x14ac:dyDescent="0.25">
      <c r="C48" s="1"/>
      <c r="D48" s="1"/>
      <c r="E48" s="1"/>
      <c r="F48" s="1"/>
      <c r="G48" s="1" t="s">
        <v>73</v>
      </c>
      <c r="H48" s="1"/>
      <c r="I48" s="53"/>
      <c r="J48" s="33"/>
      <c r="K48" s="53"/>
      <c r="L48" s="33"/>
      <c r="M48" s="53"/>
      <c r="N48" s="33"/>
      <c r="O48" s="63"/>
      <c r="P48" s="33"/>
      <c r="Q48" s="53"/>
      <c r="R48" s="33"/>
      <c r="S48" s="53"/>
      <c r="T48" s="60"/>
    </row>
    <row r="49" spans="3:20" x14ac:dyDescent="0.25">
      <c r="C49" s="1"/>
      <c r="D49" s="1"/>
      <c r="E49" s="1"/>
      <c r="F49" s="1"/>
      <c r="G49" s="1"/>
      <c r="H49" s="1" t="s">
        <v>74</v>
      </c>
      <c r="I49" s="53">
        <v>900</v>
      </c>
      <c r="J49" s="33"/>
      <c r="K49" s="53">
        <v>0</v>
      </c>
      <c r="L49" s="33"/>
      <c r="M49" s="53">
        <v>0</v>
      </c>
      <c r="N49" s="33"/>
      <c r="O49" s="63"/>
      <c r="P49" s="33"/>
      <c r="Q49" s="53">
        <v>0</v>
      </c>
      <c r="R49" s="33"/>
      <c r="S49" s="53">
        <f t="shared" ref="S49:S57" si="5">ROUND(SUM(I49:Q49),5)</f>
        <v>900</v>
      </c>
      <c r="T49" s="60"/>
    </row>
    <row r="50" spans="3:20" ht="15.75" thickBot="1" x14ac:dyDescent="0.3">
      <c r="C50" s="1"/>
      <c r="D50" s="1"/>
      <c r="E50" s="1"/>
      <c r="F50" s="1"/>
      <c r="G50" s="1"/>
      <c r="H50" s="1" t="s">
        <v>5</v>
      </c>
      <c r="I50" s="54">
        <f>(400*12)+1500</f>
        <v>6300</v>
      </c>
      <c r="J50" s="33"/>
      <c r="K50" s="54">
        <v>595</v>
      </c>
      <c r="M50" s="54">
        <v>595</v>
      </c>
      <c r="N50" s="33"/>
      <c r="O50" s="54">
        <f>M50</f>
        <v>595</v>
      </c>
      <c r="P50" s="33"/>
      <c r="Q50" s="54">
        <v>0</v>
      </c>
      <c r="R50" s="33"/>
      <c r="S50" s="54">
        <f t="shared" si="5"/>
        <v>8085</v>
      </c>
      <c r="T50" s="60"/>
    </row>
    <row r="51" spans="3:20" x14ac:dyDescent="0.25">
      <c r="C51" s="1"/>
      <c r="D51" s="1"/>
      <c r="E51" s="1"/>
      <c r="F51" s="1"/>
      <c r="G51" s="1" t="s">
        <v>75</v>
      </c>
      <c r="H51" s="1"/>
      <c r="I51" s="53">
        <f>ROUND(SUM(I48:I50),5)</f>
        <v>7200</v>
      </c>
      <c r="J51" s="33"/>
      <c r="K51" s="53">
        <f>ROUND(SUM(K48:K50),5)</f>
        <v>595</v>
      </c>
      <c r="L51" s="33"/>
      <c r="M51" s="53">
        <f>ROUND(SUM(M48:M50),5)</f>
        <v>595</v>
      </c>
      <c r="N51" s="33"/>
      <c r="O51" s="63"/>
      <c r="P51" s="33"/>
      <c r="Q51" s="53">
        <f>ROUND(SUM(Q48:Q50),5)</f>
        <v>0</v>
      </c>
      <c r="R51" s="33"/>
      <c r="S51" s="53">
        <f t="shared" si="5"/>
        <v>8390</v>
      </c>
      <c r="T51" s="60"/>
    </row>
    <row r="52" spans="3:20" x14ac:dyDescent="0.25">
      <c r="C52" s="1"/>
      <c r="D52" s="1"/>
      <c r="E52" s="1"/>
      <c r="F52" s="1"/>
      <c r="G52" s="1" t="s">
        <v>84</v>
      </c>
      <c r="H52" s="1"/>
      <c r="I52" s="53">
        <v>150</v>
      </c>
      <c r="J52" s="33"/>
      <c r="K52" s="53">
        <v>4000</v>
      </c>
      <c r="L52" s="33"/>
      <c r="M52" s="53">
        <v>1500</v>
      </c>
      <c r="O52" s="53">
        <v>1700</v>
      </c>
      <c r="P52" s="33"/>
      <c r="Q52" s="53">
        <v>0</v>
      </c>
      <c r="R52" s="33"/>
      <c r="S52" s="53">
        <f t="shared" si="5"/>
        <v>7350</v>
      </c>
      <c r="T52" s="60" t="s">
        <v>40</v>
      </c>
    </row>
    <row r="53" spans="3:20" ht="15.75" thickBot="1" x14ac:dyDescent="0.3">
      <c r="C53" s="1"/>
      <c r="D53" s="1"/>
      <c r="E53" s="1"/>
      <c r="F53" s="1"/>
      <c r="G53" s="1" t="s">
        <v>85</v>
      </c>
      <c r="H53" s="1"/>
      <c r="I53" s="55">
        <v>0</v>
      </c>
      <c r="J53" s="33"/>
      <c r="K53" s="55">
        <v>72000</v>
      </c>
      <c r="L53" s="33"/>
      <c r="M53" s="55">
        <v>33992.5</v>
      </c>
      <c r="N53" s="55"/>
      <c r="O53" s="55">
        <v>41867.5</v>
      </c>
      <c r="P53" s="33"/>
      <c r="Q53" s="55">
        <v>0</v>
      </c>
      <c r="R53" s="33"/>
      <c r="S53" s="55">
        <f t="shared" si="5"/>
        <v>147860</v>
      </c>
      <c r="T53" s="60" t="s">
        <v>30</v>
      </c>
    </row>
    <row r="54" spans="3:20" ht="15.75" thickBot="1" x14ac:dyDescent="0.3">
      <c r="C54" s="1"/>
      <c r="D54" s="1"/>
      <c r="E54" s="1"/>
      <c r="F54" s="1" t="s">
        <v>86</v>
      </c>
      <c r="G54" s="1"/>
      <c r="H54" s="1"/>
      <c r="I54" s="56">
        <f>ROUND(I34+I53+I45+I44+I37+I40+I47+I41+I39+I38+I35+I46+I51+I36+I43+I42+I52,5)</f>
        <v>9040</v>
      </c>
      <c r="J54" s="33"/>
      <c r="K54" s="56">
        <f>ROUND(K34+K53+K45+K44+K37+K40+K47+K41+K39+K38+K35+K46+K51+K36+K43+K42+K52,5)</f>
        <v>89495.57</v>
      </c>
      <c r="L54" s="33"/>
      <c r="M54" s="56">
        <f>ROUND(M34+M53+M45+M44+M37+M40+M47+M41+M39+M38+M35+M46+M51+M36+M43+M42+M52,5)</f>
        <v>40777.5</v>
      </c>
      <c r="N54" s="56"/>
      <c r="O54" s="56">
        <f t="shared" ref="O54" si="6">ROUND(O34+O53+O45+O44+O37+O40+O47+O41+O39+O38+O35+O46+O51+O36+O43+O42+O52,5)</f>
        <v>49207.5</v>
      </c>
      <c r="P54" s="33"/>
      <c r="Q54" s="56">
        <f>ROUND(Q34+Q53+Q45+Q44+Q37+Q40+Q47+Q41+Q39+Q38+Q35+Q46+Q51+Q36+Q43+Q42+Q52,5)</f>
        <v>0</v>
      </c>
      <c r="R54" s="33"/>
      <c r="S54" s="56">
        <f t="shared" si="5"/>
        <v>188520.57</v>
      </c>
      <c r="T54" s="60"/>
    </row>
    <row r="55" spans="3:20" ht="15.75" thickBot="1" x14ac:dyDescent="0.3">
      <c r="C55" s="1"/>
      <c r="D55" s="1"/>
      <c r="E55" s="1" t="s">
        <v>87</v>
      </c>
      <c r="F55" s="1"/>
      <c r="G55" s="1"/>
      <c r="H55" s="1"/>
      <c r="I55" s="56">
        <f>ROUND(I17+I29+I33+I20+I54+I23,5)</f>
        <v>17080</v>
      </c>
      <c r="J55" s="33"/>
      <c r="K55" s="56">
        <f>ROUND(K17+K29+K33+K20+K54+K23,5)</f>
        <v>89495.57</v>
      </c>
      <c r="L55" s="33"/>
      <c r="M55" s="56">
        <f>ROUND(M17+M29+M33+M20+M54+M23,5)</f>
        <v>40777.5</v>
      </c>
      <c r="N55" s="56"/>
      <c r="O55" s="56">
        <f t="shared" ref="O55" si="7">ROUND(O17+O29+O33+O20+O54+O23,5)</f>
        <v>49207.5</v>
      </c>
      <c r="P55" s="33"/>
      <c r="Q55" s="56">
        <f>ROUND(Q17+Q29+Q33+Q20+Q54+Q23,5)</f>
        <v>0</v>
      </c>
      <c r="R55" s="33"/>
      <c r="S55" s="56">
        <f t="shared" si="5"/>
        <v>196560.57</v>
      </c>
      <c r="T55" s="60"/>
    </row>
    <row r="56" spans="3:20" ht="15.75" thickBot="1" x14ac:dyDescent="0.3">
      <c r="C56" s="1"/>
      <c r="D56" s="1" t="s">
        <v>88</v>
      </c>
      <c r="E56" s="1"/>
      <c r="F56" s="1"/>
      <c r="G56" s="1"/>
      <c r="H56" s="1"/>
      <c r="I56" s="56">
        <f>ROUND(I2+I16-I55,5)</f>
        <v>-16650</v>
      </c>
      <c r="J56" s="33"/>
      <c r="K56" s="56">
        <f>ROUND(K2+K16-K55,5)</f>
        <v>18504.43</v>
      </c>
      <c r="L56" s="33"/>
      <c r="M56" s="56">
        <f>ROUND(M2+M16-M55,5)</f>
        <v>-4777.5</v>
      </c>
      <c r="N56" s="56"/>
      <c r="O56" s="56">
        <f t="shared" ref="O56" si="8">ROUND(O2+O16-O55,5)</f>
        <v>4792.5</v>
      </c>
      <c r="P56" s="33"/>
      <c r="Q56" s="56">
        <f>ROUND(Q2+Q16-Q55,5)</f>
        <v>0</v>
      </c>
      <c r="R56" s="33"/>
      <c r="S56" s="56">
        <f t="shared" si="5"/>
        <v>1869.43</v>
      </c>
      <c r="T56" s="60"/>
    </row>
    <row r="57" spans="3:20" ht="15.75" thickBot="1" x14ac:dyDescent="0.3">
      <c r="C57" s="1" t="s">
        <v>105</v>
      </c>
      <c r="D57" s="1"/>
      <c r="E57" s="1"/>
      <c r="F57" s="1"/>
      <c r="G57" s="1"/>
      <c r="H57" s="1"/>
      <c r="I57" s="58">
        <f>I56</f>
        <v>-16650</v>
      </c>
      <c r="J57" s="1"/>
      <c r="K57" s="58">
        <f>K56</f>
        <v>18504.43</v>
      </c>
      <c r="L57" s="1"/>
      <c r="M57" s="58">
        <f>M56</f>
        <v>-4777.5</v>
      </c>
      <c r="N57" s="58"/>
      <c r="O57" s="58">
        <f t="shared" ref="O57" si="9">O56</f>
        <v>4792.5</v>
      </c>
      <c r="P57" s="1"/>
      <c r="Q57" s="58">
        <f>Q56</f>
        <v>0</v>
      </c>
      <c r="R57" s="1"/>
      <c r="S57" s="58">
        <f t="shared" si="5"/>
        <v>1869.43</v>
      </c>
      <c r="T57" s="60"/>
    </row>
    <row r="58" spans="3:20" ht="16.5" thickTop="1" thickBot="1" x14ac:dyDescent="0.3">
      <c r="C58" s="1"/>
      <c r="D58" s="1"/>
      <c r="E58" s="1"/>
      <c r="F58" s="1"/>
      <c r="G58" s="1"/>
      <c r="H58" s="1"/>
      <c r="I58" s="59"/>
      <c r="J58" s="1"/>
      <c r="K58" s="59"/>
      <c r="L58" s="1"/>
      <c r="M58" s="59"/>
      <c r="N58" s="1"/>
      <c r="O58" s="68"/>
      <c r="P58" s="1"/>
      <c r="Q58" s="59"/>
      <c r="R58" s="1"/>
      <c r="S58" s="59"/>
      <c r="T58" s="60"/>
    </row>
    <row r="59" spans="3:20" x14ac:dyDescent="0.25">
      <c r="C59" s="1"/>
      <c r="D59" s="1"/>
      <c r="E59" s="1"/>
      <c r="F59" s="80"/>
      <c r="G59" s="81" t="s">
        <v>15</v>
      </c>
      <c r="H59" s="82"/>
      <c r="I59" s="83"/>
      <c r="J59" s="81"/>
      <c r="K59" s="83"/>
      <c r="L59" s="81"/>
      <c r="M59" s="83"/>
      <c r="N59" s="81"/>
      <c r="O59" s="84"/>
      <c r="P59" s="85"/>
      <c r="Q59" s="59"/>
      <c r="R59" s="1"/>
      <c r="S59" s="59"/>
      <c r="T59" s="60"/>
    </row>
    <row r="60" spans="3:20" x14ac:dyDescent="0.25">
      <c r="C60" s="1"/>
      <c r="D60" s="1"/>
      <c r="E60" s="1"/>
      <c r="F60" s="86"/>
      <c r="G60" s="87"/>
      <c r="H60" s="88" t="s">
        <v>35</v>
      </c>
      <c r="I60" s="59"/>
      <c r="J60" s="87"/>
      <c r="K60" s="78">
        <v>20</v>
      </c>
      <c r="L60" s="89"/>
      <c r="M60" s="78">
        <v>8</v>
      </c>
      <c r="N60" s="89"/>
      <c r="O60" s="78">
        <v>12</v>
      </c>
      <c r="P60" s="90"/>
      <c r="Q60" s="59"/>
      <c r="R60" s="1"/>
      <c r="S60" s="59"/>
      <c r="T60" s="60"/>
    </row>
    <row r="61" spans="3:20" x14ac:dyDescent="0.25">
      <c r="C61" s="12"/>
      <c r="D61" s="12"/>
      <c r="E61" s="12"/>
      <c r="F61" s="91"/>
      <c r="G61" s="88"/>
      <c r="H61" s="88" t="s">
        <v>16</v>
      </c>
      <c r="I61" s="92"/>
      <c r="J61" s="92"/>
      <c r="K61" s="78">
        <v>240</v>
      </c>
      <c r="L61" s="89"/>
      <c r="M61" s="78">
        <v>80</v>
      </c>
      <c r="N61" s="89"/>
      <c r="O61" s="78">
        <v>120</v>
      </c>
      <c r="P61" s="93"/>
      <c r="Q61" s="13"/>
      <c r="R61" s="13"/>
      <c r="S61" s="13"/>
      <c r="T61" s="60"/>
    </row>
    <row r="62" spans="3:20" x14ac:dyDescent="0.25">
      <c r="C62" s="12"/>
      <c r="D62" s="12"/>
      <c r="E62" s="12"/>
      <c r="F62" s="91"/>
      <c r="G62" s="88"/>
      <c r="H62" s="88" t="s">
        <v>36</v>
      </c>
      <c r="I62" s="92"/>
      <c r="J62" s="92"/>
      <c r="K62" s="78">
        <v>45</v>
      </c>
      <c r="L62" s="89"/>
      <c r="M62" s="78">
        <v>19</v>
      </c>
      <c r="N62" s="89"/>
      <c r="O62" s="78">
        <v>28</v>
      </c>
      <c r="P62" s="93"/>
      <c r="Q62" s="13"/>
      <c r="R62" s="13"/>
      <c r="S62" s="13"/>
      <c r="T62" s="60"/>
    </row>
    <row r="63" spans="3:20" ht="15.75" thickBot="1" x14ac:dyDescent="0.3">
      <c r="C63" s="12"/>
      <c r="D63" s="12"/>
      <c r="E63" s="12"/>
      <c r="F63" s="94"/>
      <c r="G63" s="95"/>
      <c r="H63" s="95" t="s">
        <v>18</v>
      </c>
      <c r="I63" s="96"/>
      <c r="J63" s="96"/>
      <c r="K63" s="97">
        <v>450</v>
      </c>
      <c r="L63" s="98"/>
      <c r="M63" s="97">
        <f>K63</f>
        <v>450</v>
      </c>
      <c r="N63" s="98"/>
      <c r="O63" s="97">
        <f>M63</f>
        <v>450</v>
      </c>
      <c r="P63" s="99"/>
      <c r="Q63" s="13"/>
      <c r="R63" s="13"/>
      <c r="S63" s="13"/>
      <c r="T63" s="60"/>
    </row>
    <row r="64" spans="3:20" ht="15.75" thickBot="1" x14ac:dyDescent="0.3">
      <c r="C64" s="12"/>
      <c r="D64" s="12"/>
      <c r="E64" s="12"/>
      <c r="F64" s="12"/>
      <c r="G64" s="12"/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60"/>
    </row>
    <row r="65" spans="3:20" ht="30" customHeight="1" x14ac:dyDescent="0.25">
      <c r="C65" s="12"/>
      <c r="D65" s="12"/>
      <c r="E65" s="12"/>
      <c r="F65" s="12"/>
      <c r="G65" s="12"/>
      <c r="H65" s="72" t="s">
        <v>28</v>
      </c>
      <c r="I65" s="16"/>
      <c r="J65" s="73"/>
      <c r="K65" s="16"/>
      <c r="L65" s="74"/>
      <c r="M65" s="102"/>
      <c r="N65" s="13"/>
      <c r="O65" s="69"/>
      <c r="P65" s="13"/>
      <c r="Q65" s="13"/>
      <c r="R65" s="13"/>
      <c r="S65" s="13"/>
      <c r="T65" s="60"/>
    </row>
    <row r="66" spans="3:20" ht="30" x14ac:dyDescent="0.25">
      <c r="C66" s="12"/>
      <c r="D66" s="12"/>
      <c r="E66" s="12"/>
      <c r="F66" s="12"/>
      <c r="G66" s="12"/>
      <c r="H66" s="20"/>
      <c r="I66" s="100" t="s">
        <v>10</v>
      </c>
      <c r="J66" s="101"/>
      <c r="K66" s="100" t="s">
        <v>11</v>
      </c>
      <c r="L66" s="71"/>
      <c r="M66" s="103" t="s">
        <v>12</v>
      </c>
      <c r="N66" s="13"/>
      <c r="O66" s="69"/>
      <c r="P66" s="13"/>
      <c r="Q66" s="13"/>
      <c r="R66" s="13"/>
      <c r="S66" s="13"/>
      <c r="T66" s="60"/>
    </row>
    <row r="67" spans="3:20" x14ac:dyDescent="0.25">
      <c r="C67" s="12"/>
      <c r="D67" s="12"/>
      <c r="E67" s="12"/>
      <c r="F67" s="12"/>
      <c r="G67" s="12"/>
      <c r="H67" s="18" t="s">
        <v>158</v>
      </c>
      <c r="I67" s="28">
        <f>SUM(M54:O54)/SUM(M61:O61)</f>
        <v>449.92500000000001</v>
      </c>
      <c r="J67" s="71"/>
      <c r="K67" s="28">
        <f>K55/K61</f>
        <v>372.89820833333334</v>
      </c>
      <c r="L67" s="71"/>
      <c r="M67" s="47">
        <f>((K67*6)+(I67*5))/11</f>
        <v>407.91038636363641</v>
      </c>
      <c r="N67" s="13"/>
      <c r="O67" s="69"/>
      <c r="P67" s="13"/>
      <c r="Q67" s="13"/>
      <c r="R67" s="13"/>
      <c r="S67" s="13"/>
      <c r="T67" s="60"/>
    </row>
    <row r="68" spans="3:20" x14ac:dyDescent="0.25">
      <c r="C68" s="12"/>
      <c r="D68" s="12"/>
      <c r="E68" s="12"/>
      <c r="F68" s="12"/>
      <c r="G68" s="12"/>
      <c r="H68" s="27" t="s">
        <v>159</v>
      </c>
      <c r="I68" s="70">
        <f>-I57/(K61+M61+O61)</f>
        <v>37.840909090909093</v>
      </c>
      <c r="J68" s="71"/>
      <c r="K68" s="70">
        <f>I68</f>
        <v>37.840909090909093</v>
      </c>
      <c r="L68" s="71"/>
      <c r="M68" s="104">
        <f>K68</f>
        <v>37.840909090909093</v>
      </c>
      <c r="N68" s="13"/>
      <c r="O68" s="69"/>
      <c r="P68" s="13"/>
      <c r="Q68" s="13"/>
      <c r="R68" s="13"/>
      <c r="S68" s="13"/>
      <c r="T68" s="60"/>
    </row>
    <row r="69" spans="3:20" ht="16.5" x14ac:dyDescent="0.35">
      <c r="C69" s="12"/>
      <c r="D69" s="12"/>
      <c r="E69" s="12"/>
      <c r="F69" s="12"/>
      <c r="G69" s="12"/>
      <c r="H69" s="20"/>
      <c r="I69" s="29">
        <f>SUM(I67:I68)</f>
        <v>487.76590909090908</v>
      </c>
      <c r="J69" s="71"/>
      <c r="K69" s="29">
        <f>SUM(K67:K68)</f>
        <v>410.73911742424241</v>
      </c>
      <c r="L69" s="71"/>
      <c r="M69" s="49">
        <f>SUM(M67:M68)</f>
        <v>445.75129545454547</v>
      </c>
      <c r="N69" s="13"/>
      <c r="O69" s="69"/>
      <c r="P69" s="13"/>
      <c r="Q69" s="13"/>
      <c r="R69" s="13"/>
      <c r="S69" s="13"/>
      <c r="T69" s="60"/>
    </row>
    <row r="70" spans="3:20" ht="15.75" thickBot="1" x14ac:dyDescent="0.3">
      <c r="C70" s="12"/>
      <c r="D70" s="12"/>
      <c r="E70" s="12"/>
      <c r="F70" s="12"/>
      <c r="G70" s="12"/>
      <c r="H70" s="23"/>
      <c r="I70" s="24"/>
      <c r="J70" s="24"/>
      <c r="K70" s="24"/>
      <c r="L70" s="77"/>
      <c r="M70" s="50"/>
      <c r="N70" s="13"/>
      <c r="O70" s="69"/>
      <c r="P70" s="13"/>
      <c r="Q70" s="13"/>
      <c r="R70" s="13"/>
      <c r="S70" s="13"/>
      <c r="T70" s="60"/>
    </row>
    <row r="71" spans="3:20" ht="15.75" thickBot="1" x14ac:dyDescent="0.3"/>
    <row r="72" spans="3:20" ht="30" x14ac:dyDescent="0.25">
      <c r="H72" s="72" t="s">
        <v>27</v>
      </c>
      <c r="I72" s="16"/>
      <c r="J72" s="73"/>
      <c r="K72" s="16"/>
      <c r="L72" s="74"/>
      <c r="M72" s="102"/>
    </row>
    <row r="73" spans="3:20" ht="30" x14ac:dyDescent="0.25">
      <c r="H73" s="20"/>
      <c r="I73" s="100" t="s">
        <v>10</v>
      </c>
      <c r="J73" s="101"/>
      <c r="K73" s="100" t="s">
        <v>11</v>
      </c>
      <c r="L73" s="71"/>
      <c r="M73" s="103" t="s">
        <v>12</v>
      </c>
    </row>
    <row r="74" spans="3:20" x14ac:dyDescent="0.25">
      <c r="H74" s="18" t="s">
        <v>158</v>
      </c>
      <c r="I74" s="28">
        <f>54547.35/120</f>
        <v>454.56124999999997</v>
      </c>
      <c r="J74" s="71"/>
      <c r="K74" s="28">
        <f>90391.79/240</f>
        <v>376.63245833333332</v>
      </c>
      <c r="L74" s="71"/>
      <c r="M74" s="47">
        <f>((K74*2)+I74)/3</f>
        <v>402.60872222222224</v>
      </c>
    </row>
    <row r="75" spans="3:20" x14ac:dyDescent="0.25">
      <c r="H75" s="27" t="s">
        <v>159</v>
      </c>
      <c r="I75" s="70">
        <f>17131.84/360</f>
        <v>47.588444444444448</v>
      </c>
      <c r="J75" s="71"/>
      <c r="K75" s="70">
        <f>17131.84/360</f>
        <v>47.588444444444448</v>
      </c>
      <c r="L75" s="71"/>
      <c r="M75" s="104">
        <f>K75</f>
        <v>47.588444444444448</v>
      </c>
    </row>
    <row r="76" spans="3:20" ht="16.5" x14ac:dyDescent="0.35">
      <c r="H76" s="20"/>
      <c r="I76" s="29">
        <f>SUM(I74:I75)</f>
        <v>502.14969444444444</v>
      </c>
      <c r="J76" s="71"/>
      <c r="K76" s="29">
        <f>SUM(K74:K75)</f>
        <v>424.22090277777778</v>
      </c>
      <c r="L76" s="71"/>
      <c r="M76" s="49">
        <f>SUM(M74:M75)</f>
        <v>450.1971666666667</v>
      </c>
    </row>
    <row r="77" spans="3:20" ht="15.75" thickBot="1" x14ac:dyDescent="0.3">
      <c r="H77" s="23"/>
      <c r="I77" s="24"/>
      <c r="J77" s="24"/>
      <c r="K77" s="24"/>
      <c r="L77" s="77"/>
      <c r="M77" s="50"/>
    </row>
  </sheetData>
  <phoneticPr fontId="9" type="noConversion"/>
  <printOptions horizontalCentered="1" verticalCentered="1" gridLines="1"/>
  <pageMargins left="0.45" right="0.45" top="1" bottom="0.53" header="0.3" footer="0.3"/>
  <headerFooter>
    <oddHeader>&amp;L&amp;Z
&amp;F
&amp;A&amp;R&amp;D
&amp;T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T77"/>
  <sheetViews>
    <sheetView topLeftCell="A55" zoomScale="125" zoomScaleNormal="125" zoomScalePageLayoutView="125" workbookViewId="0">
      <selection activeCell="S64" sqref="S64"/>
    </sheetView>
  </sheetViews>
  <sheetFormatPr defaultColWidth="8.85546875" defaultRowHeight="15" x14ac:dyDescent="0.25"/>
  <cols>
    <col min="1" max="1" width="1" customWidth="1"/>
    <col min="2" max="3" width="1.42578125" customWidth="1"/>
    <col min="4" max="4" width="2" customWidth="1"/>
    <col min="5" max="5" width="1.7109375" customWidth="1"/>
    <col min="6" max="6" width="1.42578125" customWidth="1"/>
    <col min="7" max="7" width="1.85546875" customWidth="1"/>
    <col min="8" max="8" width="30.42578125" customWidth="1"/>
    <col min="9" max="9" width="10" customWidth="1"/>
    <col min="10" max="10" width="2.7109375" customWidth="1"/>
    <col min="11" max="11" width="9.85546875" customWidth="1"/>
    <col min="12" max="12" width="2.42578125" customWidth="1"/>
    <col min="13" max="13" width="10.85546875" customWidth="1"/>
    <col min="14" max="14" width="2.140625" customWidth="1"/>
    <col min="15" max="15" width="10.7109375" customWidth="1"/>
    <col min="16" max="16" width="2.140625" customWidth="1"/>
    <col min="17" max="17" width="7.28515625" customWidth="1"/>
    <col min="18" max="18" width="3.140625" customWidth="1"/>
    <col min="19" max="19" width="11.28515625" customWidth="1"/>
    <col min="20" max="20" width="24.7109375" customWidth="1"/>
  </cols>
  <sheetData>
    <row r="1" spans="3:20" ht="14.25" customHeight="1" thickBot="1" x14ac:dyDescent="0.3">
      <c r="C1" s="9"/>
      <c r="D1" s="9"/>
      <c r="E1" s="9"/>
      <c r="F1" s="9"/>
      <c r="G1" s="9"/>
      <c r="H1" s="9"/>
      <c r="I1" s="34" t="s">
        <v>43</v>
      </c>
      <c r="J1" s="35"/>
      <c r="K1" s="34" t="s">
        <v>17</v>
      </c>
      <c r="L1" s="35"/>
      <c r="M1" s="34" t="s">
        <v>13</v>
      </c>
      <c r="N1" s="35"/>
      <c r="O1" s="61" t="s">
        <v>14</v>
      </c>
      <c r="P1" s="35"/>
      <c r="Q1" s="34" t="s">
        <v>46</v>
      </c>
      <c r="R1" s="35"/>
      <c r="S1" s="34" t="s">
        <v>47</v>
      </c>
      <c r="T1" s="60"/>
    </row>
    <row r="2" spans="3:20" ht="14.25" customHeight="1" thickTop="1" x14ac:dyDescent="0.25">
      <c r="C2" s="1"/>
      <c r="D2" s="1" t="s">
        <v>48</v>
      </c>
      <c r="E2" s="1"/>
      <c r="F2" s="1"/>
      <c r="G2" s="1"/>
      <c r="H2" s="1"/>
      <c r="I2" s="2"/>
      <c r="J2" s="33"/>
      <c r="K2" s="2"/>
      <c r="L2" s="33"/>
      <c r="M2" s="2"/>
      <c r="N2" s="33"/>
      <c r="O2" s="62"/>
      <c r="P2" s="33"/>
      <c r="Q2" s="2"/>
      <c r="R2" s="33"/>
      <c r="S2" s="2"/>
      <c r="T2" s="60"/>
    </row>
    <row r="3" spans="3:20" ht="14.25" customHeight="1" x14ac:dyDescent="0.25">
      <c r="C3" s="1"/>
      <c r="D3" s="1"/>
      <c r="E3" s="1" t="s">
        <v>49</v>
      </c>
      <c r="F3" s="1"/>
      <c r="G3" s="1"/>
      <c r="H3" s="1"/>
      <c r="I3" s="53"/>
      <c r="J3" s="33"/>
      <c r="K3" s="53"/>
      <c r="L3" s="33"/>
      <c r="M3" s="53"/>
      <c r="N3" s="33"/>
      <c r="O3" s="63"/>
      <c r="P3" s="33"/>
      <c r="Q3" s="53"/>
      <c r="R3" s="33"/>
      <c r="S3" s="53"/>
      <c r="T3" s="60"/>
    </row>
    <row r="4" spans="3:20" ht="14.25" customHeight="1" x14ac:dyDescent="0.25">
      <c r="C4" s="1"/>
      <c r="D4" s="1"/>
      <c r="E4" s="1"/>
      <c r="F4" s="1" t="s">
        <v>50</v>
      </c>
      <c r="G4" s="1"/>
      <c r="H4" s="1"/>
      <c r="I4" s="53"/>
      <c r="J4" s="33"/>
      <c r="K4" s="53"/>
      <c r="L4" s="33"/>
      <c r="M4" s="53"/>
      <c r="N4" s="33"/>
      <c r="O4" s="63"/>
      <c r="P4" s="33"/>
      <c r="Q4" s="53"/>
      <c r="R4" s="33"/>
      <c r="S4" s="53"/>
      <c r="T4" s="60"/>
    </row>
    <row r="5" spans="3:20" ht="14.25" customHeight="1" x14ac:dyDescent="0.25">
      <c r="C5" s="1"/>
      <c r="D5" s="1"/>
      <c r="E5" s="1"/>
      <c r="F5" s="1"/>
      <c r="G5" s="1" t="s">
        <v>90</v>
      </c>
      <c r="H5" s="1"/>
      <c r="I5" s="53">
        <v>30</v>
      </c>
      <c r="J5" s="33"/>
      <c r="K5" s="53">
        <v>0</v>
      </c>
      <c r="L5" s="33"/>
      <c r="M5" s="53">
        <v>0</v>
      </c>
      <c r="N5" s="33"/>
      <c r="O5" s="63">
        <v>0</v>
      </c>
      <c r="P5" s="33"/>
      <c r="Q5" s="53">
        <v>0</v>
      </c>
      <c r="R5" s="33"/>
      <c r="S5" s="53">
        <f>ROUND(SUM(I5:Q5),5)</f>
        <v>30</v>
      </c>
      <c r="T5" s="60"/>
    </row>
    <row r="6" spans="3:20" ht="14.25" customHeight="1" thickBot="1" x14ac:dyDescent="0.3">
      <c r="C6" s="1"/>
      <c r="D6" s="1"/>
      <c r="E6" s="1"/>
      <c r="F6" s="1"/>
      <c r="G6" s="1" t="s">
        <v>91</v>
      </c>
      <c r="H6" s="1"/>
      <c r="I6" s="54">
        <v>100</v>
      </c>
      <c r="J6" s="33"/>
      <c r="K6" s="54">
        <v>0</v>
      </c>
      <c r="L6" s="33"/>
      <c r="M6" s="54">
        <v>0</v>
      </c>
      <c r="N6" s="33"/>
      <c r="O6" s="64">
        <v>0</v>
      </c>
      <c r="P6" s="33"/>
      <c r="Q6" s="54">
        <v>0</v>
      </c>
      <c r="R6" s="33"/>
      <c r="S6" s="54">
        <f>ROUND(SUM(I6:Q6),5)</f>
        <v>100</v>
      </c>
      <c r="T6" s="60"/>
    </row>
    <row r="7" spans="3:20" ht="14.25" customHeight="1" x14ac:dyDescent="0.25">
      <c r="C7" s="1"/>
      <c r="D7" s="1"/>
      <c r="E7" s="1"/>
      <c r="F7" s="1" t="s">
        <v>92</v>
      </c>
      <c r="G7" s="1"/>
      <c r="H7" s="1"/>
      <c r="I7" s="53">
        <f>ROUND(I4+I6+I5,5)</f>
        <v>130</v>
      </c>
      <c r="J7" s="33"/>
      <c r="K7" s="53">
        <f>ROUND(K4+K6+K5,5)</f>
        <v>0</v>
      </c>
      <c r="L7" s="33"/>
      <c r="M7" s="53">
        <f>ROUND(M4+M6+M5,5)</f>
        <v>0</v>
      </c>
      <c r="N7" s="33"/>
      <c r="O7" s="63"/>
      <c r="P7" s="33"/>
      <c r="Q7" s="53">
        <f>ROUND(Q4+Q6+Q5,5)</f>
        <v>0</v>
      </c>
      <c r="R7" s="33"/>
      <c r="S7" s="53">
        <f>ROUND(SUM(I7:Q7),5)</f>
        <v>130</v>
      </c>
      <c r="T7" s="60"/>
    </row>
    <row r="8" spans="3:20" ht="14.25" customHeight="1" x14ac:dyDescent="0.25">
      <c r="C8" s="1"/>
      <c r="D8" s="1"/>
      <c r="E8" s="1"/>
      <c r="F8" s="1" t="s">
        <v>55</v>
      </c>
      <c r="G8" s="1"/>
      <c r="H8" s="1"/>
      <c r="I8" s="53"/>
      <c r="J8" s="33"/>
      <c r="K8" s="53"/>
      <c r="L8" s="33"/>
      <c r="M8" s="53"/>
      <c r="N8" s="33"/>
      <c r="O8" s="63"/>
      <c r="P8" s="33"/>
      <c r="Q8" s="53"/>
      <c r="R8" s="33"/>
      <c r="S8" s="53"/>
      <c r="T8" s="60"/>
    </row>
    <row r="9" spans="3:20" x14ac:dyDescent="0.25">
      <c r="C9" s="1"/>
      <c r="D9" s="1"/>
      <c r="E9" s="1"/>
      <c r="F9" s="1"/>
      <c r="G9" s="1" t="s">
        <v>93</v>
      </c>
      <c r="H9" s="1"/>
      <c r="I9" s="53">
        <v>300</v>
      </c>
      <c r="J9" s="33"/>
      <c r="K9" s="53">
        <v>0</v>
      </c>
      <c r="L9" s="33"/>
      <c r="M9" s="53">
        <v>0</v>
      </c>
      <c r="N9" s="33"/>
      <c r="O9" s="63">
        <v>0</v>
      </c>
      <c r="P9" s="33"/>
      <c r="Q9" s="53">
        <v>0</v>
      </c>
      <c r="R9" s="33"/>
      <c r="S9" s="53">
        <f>ROUND(SUM(I9:Q9),5)</f>
        <v>300</v>
      </c>
      <c r="T9" s="60"/>
    </row>
    <row r="10" spans="3:20" x14ac:dyDescent="0.25">
      <c r="C10" s="1"/>
      <c r="D10" s="1"/>
      <c r="E10" s="1"/>
      <c r="F10" s="1"/>
      <c r="G10" s="1" t="s">
        <v>57</v>
      </c>
      <c r="H10" s="1"/>
      <c r="I10" s="53"/>
      <c r="J10" s="33"/>
      <c r="K10" s="53"/>
      <c r="L10" s="33"/>
      <c r="M10" s="53"/>
      <c r="N10" s="33"/>
      <c r="O10" s="63"/>
      <c r="P10" s="33"/>
      <c r="Q10" s="53"/>
      <c r="R10" s="33"/>
      <c r="S10" s="53"/>
      <c r="T10" s="60"/>
    </row>
    <row r="11" spans="3:20" x14ac:dyDescent="0.25">
      <c r="C11" s="1"/>
      <c r="D11" s="1"/>
      <c r="E11" s="1"/>
      <c r="F11" s="1"/>
      <c r="G11" s="1"/>
      <c r="H11" s="1" t="s">
        <v>58</v>
      </c>
      <c r="I11" s="53">
        <v>0</v>
      </c>
      <c r="J11" s="33"/>
      <c r="K11" s="53"/>
      <c r="L11" s="33"/>
      <c r="M11" s="53"/>
      <c r="N11" s="33"/>
      <c r="O11" s="63"/>
      <c r="P11" s="33"/>
      <c r="Q11" s="53">
        <v>0</v>
      </c>
      <c r="R11" s="33"/>
      <c r="S11" s="53">
        <f t="shared" ref="S11:S16" si="0">ROUND(SUM(I11:Q11),5)</f>
        <v>0</v>
      </c>
      <c r="T11" s="60" t="s">
        <v>19</v>
      </c>
    </row>
    <row r="12" spans="3:20" x14ac:dyDescent="0.25">
      <c r="C12" s="1"/>
      <c r="D12" s="1"/>
      <c r="E12" s="1"/>
      <c r="F12" s="1"/>
      <c r="G12" s="1"/>
      <c r="H12" s="1" t="s">
        <v>59</v>
      </c>
      <c r="I12" s="53">
        <v>0</v>
      </c>
      <c r="J12" s="33"/>
      <c r="K12" s="53">
        <v>0</v>
      </c>
      <c r="L12" s="33"/>
      <c r="M12" s="53">
        <v>0</v>
      </c>
      <c r="N12" s="33"/>
      <c r="O12" s="63">
        <v>0</v>
      </c>
      <c r="P12" s="33"/>
      <c r="Q12" s="53">
        <v>0</v>
      </c>
      <c r="R12" s="33"/>
      <c r="S12" s="53">
        <f t="shared" si="0"/>
        <v>0</v>
      </c>
      <c r="T12" s="60"/>
    </row>
    <row r="13" spans="3:20" ht="15.75" thickBot="1" x14ac:dyDescent="0.3">
      <c r="C13" s="1"/>
      <c r="D13" s="1"/>
      <c r="E13" s="1"/>
      <c r="F13" s="1"/>
      <c r="G13" s="1"/>
      <c r="H13" s="1" t="s">
        <v>60</v>
      </c>
      <c r="I13" s="55">
        <v>0</v>
      </c>
      <c r="J13" s="33"/>
      <c r="K13" s="55">
        <f>K61*K63</f>
        <v>120000</v>
      </c>
      <c r="L13" s="33"/>
      <c r="M13" s="55">
        <f>M61*M63</f>
        <v>40000</v>
      </c>
      <c r="N13" s="33"/>
      <c r="O13" s="65">
        <f>O61*O63</f>
        <v>60000</v>
      </c>
      <c r="P13" s="33"/>
      <c r="Q13" s="55">
        <v>0</v>
      </c>
      <c r="R13" s="33"/>
      <c r="S13" s="55">
        <f t="shared" si="0"/>
        <v>220000</v>
      </c>
      <c r="T13" s="60"/>
    </row>
    <row r="14" spans="3:20" ht="15.75" thickBot="1" x14ac:dyDescent="0.3">
      <c r="C14" s="1"/>
      <c r="D14" s="1"/>
      <c r="E14" s="1"/>
      <c r="F14" s="1"/>
      <c r="G14" s="1" t="s">
        <v>61</v>
      </c>
      <c r="H14" s="1"/>
      <c r="I14" s="56">
        <f>ROUND(SUM(I10:I13),5)</f>
        <v>0</v>
      </c>
      <c r="J14" s="33"/>
      <c r="K14" s="56">
        <f>ROUND(SUM(K10:K13),5)</f>
        <v>120000</v>
      </c>
      <c r="L14" s="33"/>
      <c r="M14" s="56">
        <f>ROUND(SUM(M10:M13),5)</f>
        <v>40000</v>
      </c>
      <c r="N14" s="56">
        <f t="shared" ref="N14:O14" si="1">ROUND(SUM(N10:N13),5)</f>
        <v>0</v>
      </c>
      <c r="O14" s="66">
        <f t="shared" si="1"/>
        <v>60000</v>
      </c>
      <c r="P14" s="33"/>
      <c r="Q14" s="56">
        <f>ROUND(SUM(Q10:Q13),5)</f>
        <v>0</v>
      </c>
      <c r="R14" s="33"/>
      <c r="S14" s="56">
        <f t="shared" si="0"/>
        <v>220000</v>
      </c>
      <c r="T14" s="60"/>
    </row>
    <row r="15" spans="3:20" ht="15.75" thickBot="1" x14ac:dyDescent="0.3">
      <c r="C15" s="1"/>
      <c r="D15" s="1"/>
      <c r="E15" s="1"/>
      <c r="F15" s="1" t="s">
        <v>62</v>
      </c>
      <c r="G15" s="1"/>
      <c r="H15" s="1"/>
      <c r="I15" s="57">
        <f>ROUND(I8+I14+I9,5)</f>
        <v>300</v>
      </c>
      <c r="J15" s="33"/>
      <c r="K15" s="57">
        <f>ROUND(K8+K14+K9,5)</f>
        <v>120000</v>
      </c>
      <c r="L15" s="33"/>
      <c r="M15" s="57">
        <f>ROUND(M8+M14+M9,5)</f>
        <v>40000</v>
      </c>
      <c r="N15" s="57">
        <f t="shared" ref="N15:O15" si="2">ROUND(N8+N14+N9,5)</f>
        <v>0</v>
      </c>
      <c r="O15" s="67">
        <f t="shared" si="2"/>
        <v>60000</v>
      </c>
      <c r="P15" s="33"/>
      <c r="Q15" s="57">
        <f>ROUND(Q8+Q14+Q9,5)</f>
        <v>0</v>
      </c>
      <c r="R15" s="33"/>
      <c r="S15" s="57">
        <f t="shared" si="0"/>
        <v>220300</v>
      </c>
      <c r="T15" s="60"/>
    </row>
    <row r="16" spans="3:20" x14ac:dyDescent="0.25">
      <c r="C16" s="1"/>
      <c r="D16" s="1"/>
      <c r="E16" s="1" t="s">
        <v>63</v>
      </c>
      <c r="F16" s="1"/>
      <c r="G16" s="1"/>
      <c r="H16" s="1"/>
      <c r="I16" s="53">
        <f>ROUND(I3+I7+I15,5)</f>
        <v>430</v>
      </c>
      <c r="J16" s="33"/>
      <c r="K16" s="53">
        <f>ROUND(K3+K7+K15,5)</f>
        <v>120000</v>
      </c>
      <c r="L16" s="33"/>
      <c r="M16" s="53">
        <f>ROUND(M3+M7+M15,5)</f>
        <v>40000</v>
      </c>
      <c r="N16" s="53">
        <f t="shared" ref="N16:O16" si="3">ROUND(N3+N7+N15,5)</f>
        <v>0</v>
      </c>
      <c r="O16" s="63">
        <f t="shared" si="3"/>
        <v>60000</v>
      </c>
      <c r="P16" s="33"/>
      <c r="Q16" s="53">
        <f>ROUND(Q3+Q7+Q15,5)</f>
        <v>0</v>
      </c>
      <c r="R16" s="33"/>
      <c r="S16" s="53">
        <f t="shared" si="0"/>
        <v>220430</v>
      </c>
      <c r="T16" s="60"/>
    </row>
    <row r="17" spans="3:20" x14ac:dyDescent="0.25">
      <c r="C17" s="1"/>
      <c r="D17" s="1"/>
      <c r="E17" s="1" t="s">
        <v>64</v>
      </c>
      <c r="F17" s="1"/>
      <c r="G17" s="1"/>
      <c r="H17" s="1"/>
      <c r="I17" s="53"/>
      <c r="J17" s="33"/>
      <c r="K17" s="53"/>
      <c r="L17" s="33"/>
      <c r="M17" s="53"/>
      <c r="N17" s="33"/>
      <c r="O17" s="63"/>
      <c r="P17" s="33"/>
      <c r="Q17" s="53"/>
      <c r="R17" s="33"/>
      <c r="S17" s="53"/>
      <c r="T17" s="60"/>
    </row>
    <row r="18" spans="3:20" x14ac:dyDescent="0.25">
      <c r="C18" s="1"/>
      <c r="D18" s="1"/>
      <c r="E18" s="1"/>
      <c r="F18" s="1" t="s">
        <v>94</v>
      </c>
      <c r="G18" s="1"/>
      <c r="H18" s="1"/>
      <c r="I18" s="53"/>
      <c r="J18" s="33"/>
      <c r="K18" s="53"/>
      <c r="L18" s="33"/>
      <c r="M18" s="53"/>
      <c r="N18" s="33"/>
      <c r="O18" s="63"/>
      <c r="P18" s="33"/>
      <c r="Q18" s="53"/>
      <c r="R18" s="33"/>
      <c r="S18" s="53"/>
      <c r="T18" s="60"/>
    </row>
    <row r="19" spans="3:20" ht="15.75" thickBot="1" x14ac:dyDescent="0.3">
      <c r="C19" s="1"/>
      <c r="D19" s="1"/>
      <c r="E19" s="1"/>
      <c r="F19" s="1"/>
      <c r="G19" s="1" t="s">
        <v>95</v>
      </c>
      <c r="H19" s="1"/>
      <c r="I19" s="54">
        <v>30</v>
      </c>
      <c r="J19" s="33"/>
      <c r="K19" s="54">
        <v>0</v>
      </c>
      <c r="L19" s="33"/>
      <c r="M19" s="54">
        <v>0</v>
      </c>
      <c r="N19" s="33"/>
      <c r="O19" s="64">
        <v>0</v>
      </c>
      <c r="P19" s="33"/>
      <c r="Q19" s="54">
        <v>0</v>
      </c>
      <c r="R19" s="33"/>
      <c r="S19" s="54">
        <f>ROUND(SUM(I19:Q19),5)</f>
        <v>30</v>
      </c>
      <c r="T19" s="60"/>
    </row>
    <row r="20" spans="3:20" x14ac:dyDescent="0.25">
      <c r="C20" s="1"/>
      <c r="D20" s="1"/>
      <c r="E20" s="1"/>
      <c r="F20" s="1" t="s">
        <v>96</v>
      </c>
      <c r="G20" s="1"/>
      <c r="H20" s="1"/>
      <c r="I20" s="53">
        <f>ROUND(SUM(I18:I19),5)</f>
        <v>30</v>
      </c>
      <c r="J20" s="33"/>
      <c r="K20" s="53">
        <f>ROUND(SUM(K18:K19),5)</f>
        <v>0</v>
      </c>
      <c r="L20" s="33"/>
      <c r="M20" s="53">
        <f>ROUND(SUM(M18:M19),5)</f>
        <v>0</v>
      </c>
      <c r="N20" s="33"/>
      <c r="O20" s="63"/>
      <c r="P20" s="33"/>
      <c r="Q20" s="53">
        <f>ROUND(SUM(Q18:Q19),5)</f>
        <v>0</v>
      </c>
      <c r="R20" s="33"/>
      <c r="S20" s="53">
        <f>ROUND(SUM(I20:Q20),5)</f>
        <v>30</v>
      </c>
      <c r="T20" s="60"/>
    </row>
    <row r="21" spans="3:20" x14ac:dyDescent="0.25">
      <c r="C21" s="1"/>
      <c r="D21" s="1"/>
      <c r="E21" s="1"/>
      <c r="F21" s="1" t="s">
        <v>97</v>
      </c>
      <c r="G21" s="1"/>
      <c r="H21" s="1"/>
      <c r="I21" s="53"/>
      <c r="J21" s="33"/>
      <c r="K21" s="53"/>
      <c r="L21" s="33"/>
      <c r="M21" s="53"/>
      <c r="N21" s="33"/>
      <c r="O21" s="63"/>
      <c r="P21" s="33"/>
      <c r="Q21" s="53"/>
      <c r="R21" s="33"/>
      <c r="S21" s="53"/>
      <c r="T21" s="60"/>
    </row>
    <row r="22" spans="3:20" ht="15.75" thickBot="1" x14ac:dyDescent="0.3">
      <c r="C22" s="1"/>
      <c r="D22" s="1"/>
      <c r="E22" s="1"/>
      <c r="F22" s="1"/>
      <c r="G22" s="1" t="s">
        <v>98</v>
      </c>
      <c r="H22" s="1"/>
      <c r="I22" s="54">
        <v>400</v>
      </c>
      <c r="J22" s="33"/>
      <c r="K22" s="54">
        <v>0</v>
      </c>
      <c r="L22" s="33"/>
      <c r="M22" s="54">
        <v>0</v>
      </c>
      <c r="N22" s="33"/>
      <c r="O22" s="64">
        <v>0</v>
      </c>
      <c r="P22" s="33"/>
      <c r="Q22" s="54">
        <v>0</v>
      </c>
      <c r="R22" s="33"/>
      <c r="S22" s="54">
        <f>ROUND(SUM(I22:Q22),5)</f>
        <v>400</v>
      </c>
      <c r="T22" s="60" t="s">
        <v>33</v>
      </c>
    </row>
    <row r="23" spans="3:20" x14ac:dyDescent="0.25">
      <c r="C23" s="1"/>
      <c r="D23" s="1"/>
      <c r="E23" s="1"/>
      <c r="F23" s="1" t="s">
        <v>99</v>
      </c>
      <c r="G23" s="1"/>
      <c r="H23" s="1"/>
      <c r="I23" s="53">
        <f>ROUND(SUM(I21:I22),5)</f>
        <v>400</v>
      </c>
      <c r="J23" s="33"/>
      <c r="K23" s="53">
        <f>ROUND(SUM(K21:K22),5)</f>
        <v>0</v>
      </c>
      <c r="L23" s="33"/>
      <c r="M23" s="53">
        <f>ROUND(SUM(M21:M22),5)</f>
        <v>0</v>
      </c>
      <c r="N23" s="33"/>
      <c r="O23" s="63"/>
      <c r="P23" s="33"/>
      <c r="Q23" s="53">
        <f>ROUND(SUM(Q21:Q22),5)</f>
        <v>0</v>
      </c>
      <c r="R23" s="33"/>
      <c r="S23" s="53">
        <f>ROUND(SUM(I23:Q23),5)</f>
        <v>400</v>
      </c>
      <c r="T23" s="60"/>
    </row>
    <row r="24" spans="3:20" x14ac:dyDescent="0.25">
      <c r="C24" s="1"/>
      <c r="D24" s="1"/>
      <c r="E24" s="1"/>
      <c r="F24" s="1" t="s">
        <v>68</v>
      </c>
      <c r="G24" s="1"/>
      <c r="H24" s="1"/>
      <c r="I24" s="53"/>
      <c r="J24" s="33"/>
      <c r="K24" s="53"/>
      <c r="L24" s="33"/>
      <c r="M24" s="53"/>
      <c r="N24" s="33"/>
      <c r="O24" s="63"/>
      <c r="P24" s="33"/>
      <c r="Q24" s="53"/>
      <c r="R24" s="33"/>
      <c r="S24" s="53"/>
      <c r="T24" s="60"/>
    </row>
    <row r="25" spans="3:20" x14ac:dyDescent="0.25">
      <c r="C25" s="1"/>
      <c r="D25" s="1"/>
      <c r="E25" s="1"/>
      <c r="F25" s="1"/>
      <c r="G25" s="1" t="s">
        <v>100</v>
      </c>
      <c r="H25" s="1"/>
      <c r="I25" s="53">
        <v>10</v>
      </c>
      <c r="J25" s="33"/>
      <c r="K25" s="53">
        <v>0</v>
      </c>
      <c r="L25" s="33"/>
      <c r="M25" s="53">
        <v>0</v>
      </c>
      <c r="N25" s="33"/>
      <c r="O25" s="63">
        <v>0</v>
      </c>
      <c r="P25" s="33"/>
      <c r="Q25" s="53">
        <v>0</v>
      </c>
      <c r="R25" s="33"/>
      <c r="S25" s="53">
        <f>ROUND(SUM(I25:Q25),5)</f>
        <v>10</v>
      </c>
      <c r="T25" s="60" t="s">
        <v>34</v>
      </c>
    </row>
    <row r="26" spans="3:20" x14ac:dyDescent="0.25">
      <c r="C26" s="1"/>
      <c r="D26" s="1"/>
      <c r="E26" s="1"/>
      <c r="F26" s="1"/>
      <c r="G26" s="1" t="s">
        <v>69</v>
      </c>
      <c r="H26" s="1"/>
      <c r="I26" s="53">
        <v>100</v>
      </c>
      <c r="J26" s="33"/>
      <c r="K26" s="53">
        <v>0</v>
      </c>
      <c r="L26" s="33"/>
      <c r="M26" s="53">
        <v>0</v>
      </c>
      <c r="N26" s="33"/>
      <c r="O26" s="63"/>
      <c r="P26" s="33"/>
      <c r="Q26" s="53">
        <v>0</v>
      </c>
      <c r="R26" s="33"/>
      <c r="S26" s="53">
        <f>ROUND(SUM(I26:Q26),5)</f>
        <v>100</v>
      </c>
      <c r="T26" s="60"/>
    </row>
    <row r="27" spans="3:20" x14ac:dyDescent="0.25">
      <c r="C27" s="1"/>
      <c r="D27" s="1"/>
      <c r="E27" s="1"/>
      <c r="F27" s="1"/>
      <c r="G27" s="1" t="s">
        <v>70</v>
      </c>
      <c r="H27" s="1"/>
      <c r="I27" s="53">
        <v>0</v>
      </c>
      <c r="J27" s="33"/>
      <c r="K27" s="53">
        <v>0</v>
      </c>
      <c r="L27" s="33"/>
      <c r="M27" s="53">
        <v>0</v>
      </c>
      <c r="N27" s="33"/>
      <c r="O27" s="63"/>
      <c r="P27" s="33"/>
      <c r="Q27" s="53">
        <v>0</v>
      </c>
      <c r="R27" s="33"/>
      <c r="S27" s="53">
        <f>ROUND(SUM(I27:Q27),5)</f>
        <v>0</v>
      </c>
      <c r="T27" s="60"/>
    </row>
    <row r="28" spans="3:20" ht="15.75" thickBot="1" x14ac:dyDescent="0.3">
      <c r="C28" s="1"/>
      <c r="D28" s="1"/>
      <c r="E28" s="1"/>
      <c r="F28" s="1"/>
      <c r="G28" s="1" t="s">
        <v>101</v>
      </c>
      <c r="H28" s="1"/>
      <c r="I28" s="54">
        <v>800</v>
      </c>
      <c r="J28" s="33"/>
      <c r="K28" s="54">
        <v>0</v>
      </c>
      <c r="L28" s="33"/>
      <c r="M28" s="54">
        <v>0</v>
      </c>
      <c r="N28" s="33"/>
      <c r="O28" s="64"/>
      <c r="P28" s="33"/>
      <c r="Q28" s="54">
        <v>0</v>
      </c>
      <c r="R28" s="33"/>
      <c r="S28" s="54">
        <f>ROUND(SUM(I28:Q28),5)</f>
        <v>800</v>
      </c>
      <c r="T28" s="60" t="s">
        <v>32</v>
      </c>
    </row>
    <row r="29" spans="3:20" x14ac:dyDescent="0.25">
      <c r="C29" s="1"/>
      <c r="D29" s="1"/>
      <c r="E29" s="1"/>
      <c r="F29" s="1" t="s">
        <v>71</v>
      </c>
      <c r="G29" s="1"/>
      <c r="H29" s="1"/>
      <c r="I29" s="53">
        <f>ROUND(I24+I26+I25+I28+I27,5)</f>
        <v>910</v>
      </c>
      <c r="J29" s="33"/>
      <c r="K29" s="53">
        <f>ROUND(K24+K26+K25+K28+K27,5)</f>
        <v>0</v>
      </c>
      <c r="L29" s="33"/>
      <c r="M29" s="53">
        <f>ROUND(M24+M26+M25+M28+M27,5)</f>
        <v>0</v>
      </c>
      <c r="N29" s="33"/>
      <c r="O29" s="63"/>
      <c r="P29" s="33"/>
      <c r="Q29" s="53">
        <f>ROUND(Q24+Q26+Q25+Q28+Q27,5)</f>
        <v>0</v>
      </c>
      <c r="R29" s="33"/>
      <c r="S29" s="53">
        <f>ROUND(SUM(I29:Q29),5)</f>
        <v>910</v>
      </c>
      <c r="T29" s="60"/>
    </row>
    <row r="30" spans="3:20" x14ac:dyDescent="0.25">
      <c r="C30" s="1"/>
      <c r="D30" s="1"/>
      <c r="E30" s="1"/>
      <c r="F30" s="1" t="s">
        <v>65</v>
      </c>
      <c r="G30" s="1"/>
      <c r="H30" s="1"/>
      <c r="I30" s="53"/>
      <c r="J30" s="33"/>
      <c r="K30" s="53"/>
      <c r="L30" s="33"/>
      <c r="M30" s="53"/>
      <c r="N30" s="33"/>
      <c r="O30" s="63"/>
      <c r="P30" s="33"/>
      <c r="Q30" s="53"/>
      <c r="R30" s="33"/>
      <c r="S30" s="53"/>
      <c r="T30" s="60"/>
    </row>
    <row r="31" spans="3:20" x14ac:dyDescent="0.25">
      <c r="C31" s="1"/>
      <c r="D31" s="1"/>
      <c r="E31" s="1"/>
      <c r="F31" s="1"/>
      <c r="G31" s="1" t="s">
        <v>66</v>
      </c>
      <c r="H31" s="1"/>
      <c r="I31" s="53">
        <f>20*20*12</f>
        <v>4800</v>
      </c>
      <c r="J31" s="33"/>
      <c r="K31" s="53">
        <v>0</v>
      </c>
      <c r="L31" s="33"/>
      <c r="M31" s="53">
        <v>0</v>
      </c>
      <c r="N31" s="33"/>
      <c r="O31" s="63"/>
      <c r="P31" s="33"/>
      <c r="Q31" s="53">
        <v>0</v>
      </c>
      <c r="R31" s="33"/>
      <c r="S31" s="53">
        <f>ROUND(SUM(I31:Q31),5)</f>
        <v>4800</v>
      </c>
      <c r="T31" s="60" t="s">
        <v>21</v>
      </c>
    </row>
    <row r="32" spans="3:20" ht="15.75" thickBot="1" x14ac:dyDescent="0.3">
      <c r="C32" s="1"/>
      <c r="D32" s="1"/>
      <c r="E32" s="1"/>
      <c r="F32" s="1"/>
      <c r="G32" s="1" t="s">
        <v>102</v>
      </c>
      <c r="H32" s="1"/>
      <c r="I32" s="54">
        <f>400*4+300</f>
        <v>1900</v>
      </c>
      <c r="J32" s="33"/>
      <c r="K32" s="54">
        <v>0</v>
      </c>
      <c r="L32" s="33"/>
      <c r="M32" s="54">
        <v>0</v>
      </c>
      <c r="N32" s="33"/>
      <c r="O32" s="64"/>
      <c r="P32" s="33"/>
      <c r="Q32" s="54">
        <v>0</v>
      </c>
      <c r="R32" s="33"/>
      <c r="S32" s="54">
        <f>ROUND(SUM(I32:Q32),5)</f>
        <v>1900</v>
      </c>
      <c r="T32" s="60"/>
    </row>
    <row r="33" spans="3:20" x14ac:dyDescent="0.25">
      <c r="C33" s="1"/>
      <c r="D33" s="1"/>
      <c r="E33" s="1"/>
      <c r="F33" s="1" t="s">
        <v>67</v>
      </c>
      <c r="G33" s="1"/>
      <c r="H33" s="1"/>
      <c r="I33" s="53">
        <f>ROUND(I30+I32+I31,5)</f>
        <v>6700</v>
      </c>
      <c r="J33" s="33"/>
      <c r="K33" s="53">
        <f>ROUND(K30+K32+K31,5)</f>
        <v>0</v>
      </c>
      <c r="L33" s="33"/>
      <c r="M33" s="53">
        <f>ROUND(M30+M32+M31,5)</f>
        <v>0</v>
      </c>
      <c r="N33" s="33"/>
      <c r="O33" s="63"/>
      <c r="P33" s="33"/>
      <c r="Q33" s="53">
        <f>ROUND(Q30+Q32+Q31,5)</f>
        <v>0</v>
      </c>
      <c r="R33" s="33"/>
      <c r="S33" s="53">
        <f>ROUND(SUM(I33:Q33),5)</f>
        <v>6700</v>
      </c>
      <c r="T33" s="60"/>
    </row>
    <row r="34" spans="3:20" x14ac:dyDescent="0.25">
      <c r="C34" s="1"/>
      <c r="D34" s="1"/>
      <c r="E34" s="1"/>
      <c r="F34" s="1" t="s">
        <v>72</v>
      </c>
      <c r="G34" s="1"/>
      <c r="H34" s="1"/>
      <c r="I34" s="53"/>
      <c r="J34" s="33"/>
      <c r="K34" s="53"/>
      <c r="L34" s="33"/>
      <c r="M34" s="53"/>
      <c r="N34" s="33"/>
      <c r="O34" s="63"/>
      <c r="P34" s="33"/>
      <c r="Q34" s="53"/>
      <c r="R34" s="33"/>
      <c r="S34" s="53"/>
      <c r="T34" s="60"/>
    </row>
    <row r="35" spans="3:20" x14ac:dyDescent="0.25">
      <c r="C35" s="1"/>
      <c r="D35" s="1"/>
      <c r="E35" s="1"/>
      <c r="F35" s="1"/>
      <c r="G35" s="1" t="s">
        <v>77</v>
      </c>
      <c r="H35" s="1"/>
      <c r="I35" s="53">
        <v>20</v>
      </c>
      <c r="J35" s="33"/>
      <c r="K35" s="53">
        <f>300*0.5</f>
        <v>150</v>
      </c>
      <c r="L35" s="33"/>
      <c r="M35" s="53">
        <v>65</v>
      </c>
      <c r="N35" s="33"/>
      <c r="O35" s="63">
        <v>65</v>
      </c>
      <c r="P35" s="33"/>
      <c r="Q35" s="53">
        <v>0</v>
      </c>
      <c r="R35" s="33"/>
      <c r="S35" s="53">
        <f t="shared" ref="S35:S47" si="4">ROUND(SUM(I35:Q35),5)</f>
        <v>300</v>
      </c>
      <c r="T35" s="60" t="s">
        <v>22</v>
      </c>
    </row>
    <row r="36" spans="3:20" x14ac:dyDescent="0.25">
      <c r="C36" s="1"/>
      <c r="D36" s="1"/>
      <c r="E36" s="1"/>
      <c r="F36" s="1"/>
      <c r="G36" s="1" t="s">
        <v>103</v>
      </c>
      <c r="H36" s="1"/>
      <c r="I36" s="53">
        <v>0</v>
      </c>
      <c r="J36" s="33"/>
      <c r="K36" s="53">
        <v>300</v>
      </c>
      <c r="L36" s="33"/>
      <c r="M36" s="53">
        <v>150</v>
      </c>
      <c r="O36" s="63">
        <v>150</v>
      </c>
      <c r="P36" s="33"/>
      <c r="Q36" s="53">
        <v>0</v>
      </c>
      <c r="R36" s="33"/>
      <c r="S36" s="53">
        <f t="shared" si="4"/>
        <v>600</v>
      </c>
      <c r="T36" s="60"/>
    </row>
    <row r="37" spans="3:20" x14ac:dyDescent="0.25">
      <c r="C37" s="1"/>
      <c r="D37" s="1"/>
      <c r="E37" s="1"/>
      <c r="F37" s="1"/>
      <c r="G37" s="1" t="s">
        <v>0</v>
      </c>
      <c r="H37" s="1"/>
      <c r="I37" s="53">
        <v>0</v>
      </c>
      <c r="J37" s="33"/>
      <c r="K37" s="53">
        <v>400</v>
      </c>
      <c r="L37" s="33"/>
      <c r="M37" s="53">
        <v>400</v>
      </c>
      <c r="N37" s="33"/>
      <c r="O37" s="63">
        <v>400</v>
      </c>
      <c r="P37" s="33"/>
      <c r="Q37" s="53">
        <v>0</v>
      </c>
      <c r="R37" s="33"/>
      <c r="S37" s="53">
        <f t="shared" si="4"/>
        <v>1200</v>
      </c>
      <c r="T37" s="60"/>
    </row>
    <row r="38" spans="3:20" x14ac:dyDescent="0.25">
      <c r="C38" s="1"/>
      <c r="D38" s="1"/>
      <c r="E38" s="1"/>
      <c r="F38" s="1"/>
      <c r="G38" s="1" t="s">
        <v>1</v>
      </c>
      <c r="H38" s="1"/>
      <c r="I38" s="53">
        <v>0</v>
      </c>
      <c r="J38" s="33"/>
      <c r="K38" s="53">
        <v>300.57</v>
      </c>
      <c r="L38" s="33"/>
      <c r="M38" s="53">
        <v>25</v>
      </c>
      <c r="N38" s="33"/>
      <c r="O38" s="63">
        <v>25</v>
      </c>
      <c r="P38" s="33"/>
      <c r="Q38" s="53">
        <v>0</v>
      </c>
      <c r="R38" s="33"/>
      <c r="S38" s="53">
        <f t="shared" si="4"/>
        <v>350.57</v>
      </c>
      <c r="T38" s="60" t="s">
        <v>31</v>
      </c>
    </row>
    <row r="39" spans="3:20" x14ac:dyDescent="0.25">
      <c r="C39" s="1"/>
      <c r="D39" s="1"/>
      <c r="E39" s="1"/>
      <c r="F39" s="1"/>
      <c r="G39" s="1" t="s">
        <v>79</v>
      </c>
      <c r="H39" s="1"/>
      <c r="I39" s="53">
        <v>0</v>
      </c>
      <c r="J39" s="33"/>
      <c r="K39" s="53">
        <v>600</v>
      </c>
      <c r="L39" s="33"/>
      <c r="M39" s="53">
        <v>250</v>
      </c>
      <c r="N39" s="33"/>
      <c r="O39" s="63">
        <v>300</v>
      </c>
      <c r="P39" s="33"/>
      <c r="Q39" s="53">
        <v>0</v>
      </c>
      <c r="R39" s="33"/>
      <c r="S39" s="53">
        <f t="shared" si="4"/>
        <v>1150</v>
      </c>
      <c r="T39" s="60" t="s">
        <v>37</v>
      </c>
    </row>
    <row r="40" spans="3:20" x14ac:dyDescent="0.25">
      <c r="C40" s="1"/>
      <c r="D40" s="1"/>
      <c r="E40" s="1"/>
      <c r="F40" s="1"/>
      <c r="G40" s="1" t="s">
        <v>2</v>
      </c>
      <c r="H40" s="1"/>
      <c r="I40" s="53">
        <v>0</v>
      </c>
      <c r="J40" s="33"/>
      <c r="K40" s="53">
        <v>550</v>
      </c>
      <c r="L40" s="33"/>
      <c r="M40" s="53">
        <v>0</v>
      </c>
      <c r="N40" s="33"/>
      <c r="O40" s="63">
        <v>0</v>
      </c>
      <c r="P40" s="33"/>
      <c r="Q40" s="53">
        <v>0</v>
      </c>
      <c r="R40" s="33"/>
      <c r="S40" s="53">
        <f t="shared" si="4"/>
        <v>550</v>
      </c>
      <c r="T40" s="60" t="s">
        <v>38</v>
      </c>
    </row>
    <row r="41" spans="3:20" x14ac:dyDescent="0.25">
      <c r="C41" s="1"/>
      <c r="D41" s="1"/>
      <c r="E41" s="1"/>
      <c r="F41" s="1"/>
      <c r="G41" s="1" t="s">
        <v>78</v>
      </c>
      <c r="H41" s="1"/>
      <c r="I41" s="53">
        <v>450</v>
      </c>
      <c r="J41" s="33"/>
      <c r="K41" s="53">
        <f>K60*50</f>
        <v>1000</v>
      </c>
      <c r="L41" s="33"/>
      <c r="M41" s="53">
        <f>M60*50</f>
        <v>400</v>
      </c>
      <c r="N41" s="33"/>
      <c r="O41" s="53">
        <f>O60*50</f>
        <v>600</v>
      </c>
      <c r="P41" s="33"/>
      <c r="Q41" s="53">
        <v>0</v>
      </c>
      <c r="R41" s="33"/>
      <c r="S41" s="53">
        <f t="shared" si="4"/>
        <v>2450</v>
      </c>
      <c r="T41" s="60" t="s">
        <v>23</v>
      </c>
    </row>
    <row r="42" spans="3:20" x14ac:dyDescent="0.25">
      <c r="C42" s="1"/>
      <c r="D42" s="1"/>
      <c r="E42" s="1"/>
      <c r="F42" s="1"/>
      <c r="G42" s="1" t="s">
        <v>76</v>
      </c>
      <c r="H42" s="1"/>
      <c r="I42" s="53">
        <f>60*12</f>
        <v>720</v>
      </c>
      <c r="J42" s="33"/>
      <c r="K42" s="53">
        <v>0</v>
      </c>
      <c r="L42" s="33"/>
      <c r="M42" s="53">
        <v>0</v>
      </c>
      <c r="N42" s="33"/>
      <c r="O42" s="63">
        <v>0</v>
      </c>
      <c r="P42" s="33"/>
      <c r="Q42" s="53">
        <v>0</v>
      </c>
      <c r="R42" s="33"/>
      <c r="S42" s="53">
        <f t="shared" si="4"/>
        <v>720</v>
      </c>
      <c r="T42" s="60"/>
    </row>
    <row r="43" spans="3:20" x14ac:dyDescent="0.25">
      <c r="C43" s="1"/>
      <c r="D43" s="1"/>
      <c r="E43" s="1"/>
      <c r="F43" s="1"/>
      <c r="G43" s="1" t="s">
        <v>3</v>
      </c>
      <c r="H43" s="1"/>
      <c r="I43" s="53">
        <v>0</v>
      </c>
      <c r="J43" s="33"/>
      <c r="K43" s="53">
        <v>900</v>
      </c>
      <c r="L43" s="33"/>
      <c r="M43" s="53">
        <v>0</v>
      </c>
      <c r="N43" s="33"/>
      <c r="O43" s="63">
        <v>0</v>
      </c>
      <c r="P43" s="33"/>
      <c r="Q43" s="53">
        <v>0</v>
      </c>
      <c r="R43" s="33"/>
      <c r="S43" s="53">
        <f t="shared" si="4"/>
        <v>900</v>
      </c>
      <c r="T43" s="60" t="s">
        <v>24</v>
      </c>
    </row>
    <row r="44" spans="3:20" x14ac:dyDescent="0.25">
      <c r="C44" s="1"/>
      <c r="D44" s="1"/>
      <c r="E44" s="1"/>
      <c r="F44" s="1"/>
      <c r="G44" s="1" t="s">
        <v>4</v>
      </c>
      <c r="H44" s="1"/>
      <c r="I44" s="53">
        <v>0</v>
      </c>
      <c r="J44" s="33"/>
      <c r="K44" s="53">
        <v>0</v>
      </c>
      <c r="L44" s="33"/>
      <c r="M44" s="53">
        <v>0</v>
      </c>
      <c r="N44" s="33"/>
      <c r="O44" s="63">
        <v>0</v>
      </c>
      <c r="P44" s="33"/>
      <c r="Q44" s="53">
        <v>0</v>
      </c>
      <c r="R44" s="33"/>
      <c r="S44" s="53">
        <f t="shared" si="4"/>
        <v>0</v>
      </c>
      <c r="T44" s="60"/>
    </row>
    <row r="45" spans="3:20" x14ac:dyDescent="0.25">
      <c r="C45" s="1"/>
      <c r="D45" s="1"/>
      <c r="E45" s="1"/>
      <c r="F45" s="1"/>
      <c r="G45" s="1" t="s">
        <v>83</v>
      </c>
      <c r="H45" s="1"/>
      <c r="I45" s="53">
        <v>0</v>
      </c>
      <c r="J45" s="33"/>
      <c r="K45" s="53">
        <v>2400</v>
      </c>
      <c r="L45" s="33"/>
      <c r="M45" s="53">
        <v>1200</v>
      </c>
      <c r="N45" s="33"/>
      <c r="O45" s="63">
        <v>1400</v>
      </c>
      <c r="P45" s="33"/>
      <c r="Q45" s="53">
        <v>0</v>
      </c>
      <c r="R45" s="33"/>
      <c r="S45" s="53">
        <f t="shared" si="4"/>
        <v>5000</v>
      </c>
      <c r="T45" s="60" t="s">
        <v>39</v>
      </c>
    </row>
    <row r="46" spans="3:20" x14ac:dyDescent="0.25">
      <c r="C46" s="1"/>
      <c r="D46" s="1"/>
      <c r="E46" s="1"/>
      <c r="F46" s="1"/>
      <c r="G46" s="1" t="s">
        <v>80</v>
      </c>
      <c r="H46" s="1"/>
      <c r="I46" s="53">
        <v>500</v>
      </c>
      <c r="J46" s="33"/>
      <c r="K46" s="53">
        <v>2300</v>
      </c>
      <c r="L46" s="33"/>
      <c r="M46" s="53">
        <v>1000</v>
      </c>
      <c r="N46" s="33"/>
      <c r="O46" s="63">
        <v>1200</v>
      </c>
      <c r="P46" s="33"/>
      <c r="Q46" s="53">
        <v>0</v>
      </c>
      <c r="R46" s="33"/>
      <c r="S46" s="53">
        <f t="shared" si="4"/>
        <v>5000</v>
      </c>
      <c r="T46" s="60" t="s">
        <v>41</v>
      </c>
    </row>
    <row r="47" spans="3:20" ht="24.75" customHeight="1" x14ac:dyDescent="0.25">
      <c r="C47" s="1"/>
      <c r="D47" s="1"/>
      <c r="E47" s="1"/>
      <c r="F47" s="1"/>
      <c r="G47" s="1" t="s">
        <v>82</v>
      </c>
      <c r="H47" s="1"/>
      <c r="I47" s="53">
        <v>0</v>
      </c>
      <c r="J47" s="33"/>
      <c r="K47" s="53">
        <v>4000</v>
      </c>
      <c r="L47" s="33"/>
      <c r="M47" s="53">
        <v>1200</v>
      </c>
      <c r="N47" s="33"/>
      <c r="O47" s="63">
        <v>1500</v>
      </c>
      <c r="P47" s="33"/>
      <c r="Q47" s="53">
        <v>0</v>
      </c>
      <c r="R47" s="33"/>
      <c r="S47" s="53">
        <f t="shared" si="4"/>
        <v>6700</v>
      </c>
      <c r="T47" s="79" t="s">
        <v>42</v>
      </c>
    </row>
    <row r="48" spans="3:20" x14ac:dyDescent="0.25">
      <c r="C48" s="1"/>
      <c r="D48" s="1"/>
      <c r="E48" s="1"/>
      <c r="F48" s="1"/>
      <c r="G48" s="1" t="s">
        <v>73</v>
      </c>
      <c r="H48" s="1"/>
      <c r="I48" s="53"/>
      <c r="J48" s="33"/>
      <c r="K48" s="53"/>
      <c r="L48" s="33"/>
      <c r="M48" s="53"/>
      <c r="N48" s="33"/>
      <c r="O48" s="63"/>
      <c r="P48" s="33"/>
      <c r="Q48" s="53"/>
      <c r="R48" s="33"/>
      <c r="S48" s="53"/>
      <c r="T48" s="60"/>
    </row>
    <row r="49" spans="3:20" x14ac:dyDescent="0.25">
      <c r="C49" s="1"/>
      <c r="D49" s="1"/>
      <c r="E49" s="1"/>
      <c r="F49" s="1"/>
      <c r="G49" s="1"/>
      <c r="H49" s="1" t="s">
        <v>74</v>
      </c>
      <c r="I49" s="53">
        <v>900</v>
      </c>
      <c r="J49" s="33"/>
      <c r="K49" s="53">
        <v>0</v>
      </c>
      <c r="L49" s="33"/>
      <c r="M49" s="53">
        <v>0</v>
      </c>
      <c r="N49" s="33"/>
      <c r="O49" s="63"/>
      <c r="P49" s="33"/>
      <c r="Q49" s="53">
        <v>0</v>
      </c>
      <c r="R49" s="33"/>
      <c r="S49" s="53">
        <f t="shared" ref="S49:S57" si="5">ROUND(SUM(I49:Q49),5)</f>
        <v>900</v>
      </c>
      <c r="T49" s="60"/>
    </row>
    <row r="50" spans="3:20" ht="15.75" thickBot="1" x14ac:dyDescent="0.3">
      <c r="C50" s="1"/>
      <c r="D50" s="1"/>
      <c r="E50" s="1"/>
      <c r="F50" s="1"/>
      <c r="G50" s="1"/>
      <c r="H50" s="1" t="s">
        <v>5</v>
      </c>
      <c r="I50" s="54">
        <f>(400*12)+1500</f>
        <v>6300</v>
      </c>
      <c r="J50" s="33"/>
      <c r="K50" s="54">
        <v>595</v>
      </c>
      <c r="M50" s="54">
        <v>595</v>
      </c>
      <c r="N50" s="33"/>
      <c r="O50" s="54">
        <f>M50</f>
        <v>595</v>
      </c>
      <c r="P50" s="33"/>
      <c r="Q50" s="54">
        <v>0</v>
      </c>
      <c r="R50" s="33"/>
      <c r="S50" s="54">
        <f t="shared" si="5"/>
        <v>8085</v>
      </c>
      <c r="T50" s="60"/>
    </row>
    <row r="51" spans="3:20" x14ac:dyDescent="0.25">
      <c r="C51" s="1"/>
      <c r="D51" s="1"/>
      <c r="E51" s="1"/>
      <c r="F51" s="1"/>
      <c r="G51" s="1" t="s">
        <v>75</v>
      </c>
      <c r="H51" s="1"/>
      <c r="I51" s="53">
        <f>ROUND(SUM(I48:I50),5)</f>
        <v>7200</v>
      </c>
      <c r="J51" s="33"/>
      <c r="K51" s="53">
        <f>ROUND(SUM(K48:K50),5)</f>
        <v>595</v>
      </c>
      <c r="L51" s="33"/>
      <c r="M51" s="53">
        <f>ROUND(SUM(M48:M50),5)</f>
        <v>595</v>
      </c>
      <c r="N51" s="33"/>
      <c r="O51" s="63"/>
      <c r="P51" s="33"/>
      <c r="Q51" s="53">
        <f>ROUND(SUM(Q48:Q50),5)</f>
        <v>0</v>
      </c>
      <c r="R51" s="33"/>
      <c r="S51" s="53">
        <f t="shared" si="5"/>
        <v>8390</v>
      </c>
      <c r="T51" s="60"/>
    </row>
    <row r="52" spans="3:20" x14ac:dyDescent="0.25">
      <c r="C52" s="1"/>
      <c r="D52" s="1"/>
      <c r="E52" s="1"/>
      <c r="F52" s="1"/>
      <c r="G52" s="1" t="s">
        <v>84</v>
      </c>
      <c r="H52" s="1"/>
      <c r="I52" s="53">
        <v>150</v>
      </c>
      <c r="J52" s="33"/>
      <c r="K52" s="53">
        <v>4000</v>
      </c>
      <c r="L52" s="33"/>
      <c r="M52" s="53">
        <v>1500</v>
      </c>
      <c r="O52" s="53">
        <v>1700</v>
      </c>
      <c r="P52" s="33"/>
      <c r="Q52" s="53">
        <v>0</v>
      </c>
      <c r="R52" s="33"/>
      <c r="S52" s="53">
        <f t="shared" si="5"/>
        <v>7350</v>
      </c>
      <c r="T52" s="60" t="s">
        <v>40</v>
      </c>
    </row>
    <row r="53" spans="3:20" ht="15.75" thickBot="1" x14ac:dyDescent="0.3">
      <c r="C53" s="1"/>
      <c r="D53" s="1"/>
      <c r="E53" s="1"/>
      <c r="F53" s="1"/>
      <c r="G53" s="1" t="s">
        <v>85</v>
      </c>
      <c r="H53" s="1"/>
      <c r="I53" s="55">
        <v>0</v>
      </c>
      <c r="J53" s="33"/>
      <c r="K53" s="55">
        <v>72000</v>
      </c>
      <c r="L53" s="33"/>
      <c r="M53" s="55">
        <v>33992.5</v>
      </c>
      <c r="N53" s="55"/>
      <c r="O53" s="55">
        <v>41867.5</v>
      </c>
      <c r="P53" s="33"/>
      <c r="Q53" s="55">
        <v>0</v>
      </c>
      <c r="R53" s="33"/>
      <c r="S53" s="55">
        <f t="shared" si="5"/>
        <v>147860</v>
      </c>
      <c r="T53" s="60" t="s">
        <v>30</v>
      </c>
    </row>
    <row r="54" spans="3:20" ht="15.75" thickBot="1" x14ac:dyDescent="0.3">
      <c r="C54" s="1"/>
      <c r="D54" s="1"/>
      <c r="E54" s="1"/>
      <c r="F54" s="1" t="s">
        <v>86</v>
      </c>
      <c r="G54" s="1"/>
      <c r="H54" s="1"/>
      <c r="I54" s="56">
        <f>ROUND(I34+I53+I45+I44+I37+I40+I47+I41+I39+I38+I35+I46+I51+I36+I43+I42+I52,5)</f>
        <v>9040</v>
      </c>
      <c r="J54" s="33"/>
      <c r="K54" s="56">
        <f>ROUND(K34+K53+K45+K44+K37+K40+K47+K41+K39+K38+K35+K46+K51+K36+K43+K42+K52,5)</f>
        <v>89495.57</v>
      </c>
      <c r="L54" s="33"/>
      <c r="M54" s="56">
        <f>ROUND(M34+M53+M45+M44+M37+M40+M47+M41+M39+M38+M35+M46+M51+M36+M43+M42+M52,5)</f>
        <v>40777.5</v>
      </c>
      <c r="N54" s="56"/>
      <c r="O54" s="56">
        <f t="shared" ref="O54" si="6">ROUND(O34+O53+O45+O44+O37+O40+O47+O41+O39+O38+O35+O46+O51+O36+O43+O42+O52,5)</f>
        <v>49207.5</v>
      </c>
      <c r="P54" s="33"/>
      <c r="Q54" s="56">
        <f>ROUND(Q34+Q53+Q45+Q44+Q37+Q40+Q47+Q41+Q39+Q38+Q35+Q46+Q51+Q36+Q43+Q42+Q52,5)</f>
        <v>0</v>
      </c>
      <c r="R54" s="33"/>
      <c r="S54" s="56">
        <f t="shared" si="5"/>
        <v>188520.57</v>
      </c>
      <c r="T54" s="60"/>
    </row>
    <row r="55" spans="3:20" ht="15.75" thickBot="1" x14ac:dyDescent="0.3">
      <c r="C55" s="1"/>
      <c r="D55" s="1"/>
      <c r="E55" s="1" t="s">
        <v>87</v>
      </c>
      <c r="F55" s="1"/>
      <c r="G55" s="1"/>
      <c r="H55" s="1"/>
      <c r="I55" s="56">
        <f>ROUND(I17+I29+I33+I20+I54+I23,5)</f>
        <v>17080</v>
      </c>
      <c r="J55" s="33"/>
      <c r="K55" s="56">
        <f>ROUND(K17+K29+K33+K20+K54+K23,5)</f>
        <v>89495.57</v>
      </c>
      <c r="L55" s="33"/>
      <c r="M55" s="56">
        <f>ROUND(M17+M29+M33+M20+M54+M23,5)</f>
        <v>40777.5</v>
      </c>
      <c r="N55" s="56"/>
      <c r="O55" s="56">
        <f t="shared" ref="O55" si="7">ROUND(O17+O29+O33+O20+O54+O23,5)</f>
        <v>49207.5</v>
      </c>
      <c r="P55" s="33"/>
      <c r="Q55" s="56">
        <f>ROUND(Q17+Q29+Q33+Q20+Q54+Q23,5)</f>
        <v>0</v>
      </c>
      <c r="R55" s="33"/>
      <c r="S55" s="56">
        <f t="shared" si="5"/>
        <v>196560.57</v>
      </c>
      <c r="T55" s="60"/>
    </row>
    <row r="56" spans="3:20" ht="15.75" thickBot="1" x14ac:dyDescent="0.3">
      <c r="C56" s="1"/>
      <c r="D56" s="1" t="s">
        <v>88</v>
      </c>
      <c r="E56" s="1"/>
      <c r="F56" s="1"/>
      <c r="G56" s="1"/>
      <c r="H56" s="1"/>
      <c r="I56" s="56">
        <f>ROUND(I2+I16-I55,5)</f>
        <v>-16650</v>
      </c>
      <c r="J56" s="33"/>
      <c r="K56" s="56">
        <f>ROUND(K2+K16-K55,5)</f>
        <v>30504.43</v>
      </c>
      <c r="L56" s="33"/>
      <c r="M56" s="56">
        <f>ROUND(M2+M16-M55,5)</f>
        <v>-777.5</v>
      </c>
      <c r="N56" s="56"/>
      <c r="O56" s="56">
        <f t="shared" ref="O56" si="8">ROUND(O2+O16-O55,5)</f>
        <v>10792.5</v>
      </c>
      <c r="P56" s="33"/>
      <c r="Q56" s="56">
        <f>ROUND(Q2+Q16-Q55,5)</f>
        <v>0</v>
      </c>
      <c r="R56" s="33"/>
      <c r="S56" s="56">
        <f t="shared" si="5"/>
        <v>23869.43</v>
      </c>
      <c r="T56" s="60"/>
    </row>
    <row r="57" spans="3:20" ht="15.75" thickBot="1" x14ac:dyDescent="0.3">
      <c r="C57" s="1" t="s">
        <v>105</v>
      </c>
      <c r="D57" s="1"/>
      <c r="E57" s="1"/>
      <c r="F57" s="1"/>
      <c r="G57" s="1"/>
      <c r="H57" s="1"/>
      <c r="I57" s="58">
        <f>I56</f>
        <v>-16650</v>
      </c>
      <c r="J57" s="1"/>
      <c r="K57" s="58">
        <f>K56</f>
        <v>30504.43</v>
      </c>
      <c r="L57" s="1"/>
      <c r="M57" s="58">
        <f>M56</f>
        <v>-777.5</v>
      </c>
      <c r="N57" s="58"/>
      <c r="O57" s="58">
        <f t="shared" ref="O57" si="9">O56</f>
        <v>10792.5</v>
      </c>
      <c r="P57" s="1"/>
      <c r="Q57" s="58">
        <f>Q56</f>
        <v>0</v>
      </c>
      <c r="R57" s="1"/>
      <c r="S57" s="58">
        <f t="shared" si="5"/>
        <v>23869.43</v>
      </c>
      <c r="T57" s="60"/>
    </row>
    <row r="58" spans="3:20" ht="16.5" thickTop="1" thickBot="1" x14ac:dyDescent="0.3">
      <c r="C58" s="1"/>
      <c r="D58" s="1"/>
      <c r="E58" s="1"/>
      <c r="F58" s="1"/>
      <c r="G58" s="1"/>
      <c r="H58" s="1"/>
      <c r="I58" s="59"/>
      <c r="J58" s="1"/>
      <c r="K58" s="59"/>
      <c r="L58" s="1"/>
      <c r="M58" s="59"/>
      <c r="N58" s="1"/>
      <c r="O58" s="68"/>
      <c r="P58" s="1"/>
      <c r="Q58" s="59"/>
      <c r="R58" s="1"/>
      <c r="S58" s="59"/>
      <c r="T58" s="60"/>
    </row>
    <row r="59" spans="3:20" x14ac:dyDescent="0.25">
      <c r="C59" s="1"/>
      <c r="D59" s="1"/>
      <c r="E59" s="1"/>
      <c r="F59" s="80"/>
      <c r="G59" s="81" t="s">
        <v>15</v>
      </c>
      <c r="H59" s="82"/>
      <c r="I59" s="83"/>
      <c r="J59" s="81"/>
      <c r="K59" s="83"/>
      <c r="L59" s="81"/>
      <c r="M59" s="83"/>
      <c r="N59" s="81"/>
      <c r="O59" s="84"/>
      <c r="P59" s="85"/>
      <c r="Q59" s="59"/>
      <c r="R59" s="1"/>
      <c r="S59" s="59"/>
      <c r="T59" s="60"/>
    </row>
    <row r="60" spans="3:20" x14ac:dyDescent="0.25">
      <c r="C60" s="1"/>
      <c r="D60" s="1"/>
      <c r="E60" s="1"/>
      <c r="F60" s="86"/>
      <c r="G60" s="87"/>
      <c r="H60" s="88" t="s">
        <v>35</v>
      </c>
      <c r="I60" s="59"/>
      <c r="J60" s="87"/>
      <c r="K60" s="78">
        <v>20</v>
      </c>
      <c r="L60" s="89"/>
      <c r="M60" s="78">
        <v>8</v>
      </c>
      <c r="N60" s="89"/>
      <c r="O60" s="78">
        <v>12</v>
      </c>
      <c r="P60" s="90"/>
      <c r="Q60" s="59"/>
      <c r="R60" s="1"/>
      <c r="S60" s="59"/>
      <c r="T60" s="60"/>
    </row>
    <row r="61" spans="3:20" x14ac:dyDescent="0.25">
      <c r="C61" s="12"/>
      <c r="D61" s="12"/>
      <c r="E61" s="12"/>
      <c r="F61" s="91"/>
      <c r="G61" s="88"/>
      <c r="H61" s="88" t="s">
        <v>16</v>
      </c>
      <c r="I61" s="92"/>
      <c r="J61" s="92"/>
      <c r="K61" s="78">
        <v>240</v>
      </c>
      <c r="L61" s="89"/>
      <c r="M61" s="78">
        <v>80</v>
      </c>
      <c r="N61" s="89"/>
      <c r="O61" s="78">
        <v>120</v>
      </c>
      <c r="P61" s="93"/>
      <c r="Q61" s="13"/>
      <c r="R61" s="13"/>
      <c r="S61" s="13"/>
      <c r="T61" s="60"/>
    </row>
    <row r="62" spans="3:20" x14ac:dyDescent="0.25">
      <c r="C62" s="12"/>
      <c r="D62" s="12"/>
      <c r="E62" s="12"/>
      <c r="F62" s="91"/>
      <c r="G62" s="88"/>
      <c r="H62" s="88" t="s">
        <v>36</v>
      </c>
      <c r="I62" s="92"/>
      <c r="J62" s="92"/>
      <c r="K62" s="78">
        <v>45</v>
      </c>
      <c r="L62" s="89"/>
      <c r="M62" s="78">
        <v>19</v>
      </c>
      <c r="N62" s="89"/>
      <c r="O62" s="78">
        <v>28</v>
      </c>
      <c r="P62" s="93"/>
      <c r="Q62" s="13"/>
      <c r="R62" s="13"/>
      <c r="S62" s="13"/>
      <c r="T62" s="60"/>
    </row>
    <row r="63" spans="3:20" ht="15.75" thickBot="1" x14ac:dyDescent="0.3">
      <c r="C63" s="12"/>
      <c r="D63" s="12"/>
      <c r="E63" s="12"/>
      <c r="F63" s="94"/>
      <c r="G63" s="95"/>
      <c r="H63" s="95" t="s">
        <v>18</v>
      </c>
      <c r="I63" s="96"/>
      <c r="J63" s="96"/>
      <c r="K63" s="97">
        <v>500</v>
      </c>
      <c r="L63" s="98"/>
      <c r="M63" s="97">
        <v>500</v>
      </c>
      <c r="N63" s="98"/>
      <c r="O63" s="97">
        <v>500</v>
      </c>
      <c r="P63" s="99"/>
      <c r="Q63" s="13"/>
      <c r="R63" s="13"/>
      <c r="S63" s="13">
        <f>50*(K61+M61+O61)</f>
        <v>22000</v>
      </c>
      <c r="T63" s="60"/>
    </row>
    <row r="64" spans="3:20" ht="15.75" thickBot="1" x14ac:dyDescent="0.3">
      <c r="C64" s="12"/>
      <c r="D64" s="12"/>
      <c r="E64" s="12"/>
      <c r="F64" s="12"/>
      <c r="G64" s="12"/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60"/>
    </row>
    <row r="65" spans="3:20" ht="30" customHeight="1" x14ac:dyDescent="0.25">
      <c r="C65" s="12"/>
      <c r="D65" s="12"/>
      <c r="E65" s="12"/>
      <c r="F65" s="12"/>
      <c r="G65" s="12"/>
      <c r="H65" s="72" t="s">
        <v>28</v>
      </c>
      <c r="I65" s="16"/>
      <c r="J65" s="73"/>
      <c r="K65" s="16"/>
      <c r="L65" s="74"/>
      <c r="M65" s="102"/>
      <c r="N65" s="13"/>
      <c r="O65" s="69"/>
      <c r="P65" s="13"/>
      <c r="Q65" s="13"/>
      <c r="R65" s="13"/>
      <c r="S65" s="13"/>
      <c r="T65" s="60"/>
    </row>
    <row r="66" spans="3:20" ht="30" x14ac:dyDescent="0.25">
      <c r="C66" s="12"/>
      <c r="D66" s="12"/>
      <c r="E66" s="12"/>
      <c r="F66" s="12"/>
      <c r="G66" s="12"/>
      <c r="H66" s="20"/>
      <c r="I66" s="100" t="s">
        <v>10</v>
      </c>
      <c r="J66" s="101"/>
      <c r="K66" s="100" t="s">
        <v>11</v>
      </c>
      <c r="L66" s="71"/>
      <c r="M66" s="103" t="s">
        <v>12</v>
      </c>
      <c r="N66" s="13"/>
      <c r="O66" s="69"/>
      <c r="P66" s="13"/>
      <c r="Q66" s="13"/>
      <c r="R66" s="13"/>
      <c r="S66" s="13"/>
      <c r="T66" s="60"/>
    </row>
    <row r="67" spans="3:20" x14ac:dyDescent="0.25">
      <c r="C67" s="12"/>
      <c r="D67" s="12"/>
      <c r="E67" s="12"/>
      <c r="F67" s="12"/>
      <c r="G67" s="12"/>
      <c r="H67" s="18" t="s">
        <v>158</v>
      </c>
      <c r="I67" s="28">
        <f>SUM(M54:O54)/SUM(M61:O61)</f>
        <v>449.92500000000001</v>
      </c>
      <c r="J67" s="71"/>
      <c r="K67" s="28">
        <f>K55/K61</f>
        <v>372.89820833333334</v>
      </c>
      <c r="L67" s="71"/>
      <c r="M67" s="47">
        <f>((K67*6)+(I67*5))/11</f>
        <v>407.91038636363641</v>
      </c>
      <c r="N67" s="13"/>
      <c r="O67" s="69"/>
      <c r="P67" s="13"/>
      <c r="Q67" s="13"/>
      <c r="R67" s="13"/>
      <c r="S67" s="13"/>
      <c r="T67" s="60"/>
    </row>
    <row r="68" spans="3:20" x14ac:dyDescent="0.25">
      <c r="C68" s="12"/>
      <c r="D68" s="12"/>
      <c r="E68" s="12"/>
      <c r="F68" s="12"/>
      <c r="G68" s="12"/>
      <c r="H68" s="27" t="s">
        <v>159</v>
      </c>
      <c r="I68" s="70">
        <f>-I57/(K61+M61+O61)</f>
        <v>37.840909090909093</v>
      </c>
      <c r="J68" s="71"/>
      <c r="K68" s="70">
        <f>I68</f>
        <v>37.840909090909093</v>
      </c>
      <c r="L68" s="71"/>
      <c r="M68" s="104">
        <f>K68</f>
        <v>37.840909090909093</v>
      </c>
      <c r="N68" s="13"/>
      <c r="O68" s="69"/>
      <c r="P68" s="13"/>
      <c r="Q68" s="13"/>
      <c r="R68" s="13"/>
      <c r="S68" s="13"/>
      <c r="T68" s="60"/>
    </row>
    <row r="69" spans="3:20" ht="16.5" x14ac:dyDescent="0.35">
      <c r="C69" s="12"/>
      <c r="D69" s="12"/>
      <c r="E69" s="12"/>
      <c r="F69" s="12"/>
      <c r="G69" s="12"/>
      <c r="H69" s="20"/>
      <c r="I69" s="29">
        <f>SUM(I67:I68)</f>
        <v>487.76590909090908</v>
      </c>
      <c r="J69" s="71"/>
      <c r="K69" s="29">
        <f>SUM(K67:K68)</f>
        <v>410.73911742424241</v>
      </c>
      <c r="L69" s="71"/>
      <c r="M69" s="49">
        <f>SUM(M67:M68)</f>
        <v>445.75129545454547</v>
      </c>
      <c r="N69" s="13"/>
      <c r="O69" s="69"/>
      <c r="P69" s="13"/>
      <c r="Q69" s="13"/>
      <c r="R69" s="13"/>
      <c r="S69" s="13"/>
      <c r="T69" s="60"/>
    </row>
    <row r="70" spans="3:20" ht="15.75" thickBot="1" x14ac:dyDescent="0.3">
      <c r="C70" s="12"/>
      <c r="D70" s="12"/>
      <c r="E70" s="12"/>
      <c r="F70" s="12"/>
      <c r="G70" s="12"/>
      <c r="H70" s="23"/>
      <c r="I70" s="24"/>
      <c r="J70" s="24"/>
      <c r="K70" s="24"/>
      <c r="L70" s="77"/>
      <c r="M70" s="50"/>
      <c r="N70" s="13"/>
      <c r="O70" s="69"/>
      <c r="P70" s="13"/>
      <c r="Q70" s="13"/>
      <c r="R70" s="13"/>
      <c r="S70" s="13"/>
      <c r="T70" s="60"/>
    </row>
    <row r="71" spans="3:20" ht="15.75" thickBot="1" x14ac:dyDescent="0.3"/>
    <row r="72" spans="3:20" ht="30" x14ac:dyDescent="0.25">
      <c r="H72" s="72" t="s">
        <v>27</v>
      </c>
      <c r="I72" s="16"/>
      <c r="J72" s="73"/>
      <c r="K72" s="16"/>
      <c r="L72" s="74"/>
      <c r="M72" s="102"/>
    </row>
    <row r="73" spans="3:20" ht="30" x14ac:dyDescent="0.25">
      <c r="H73" s="20"/>
      <c r="I73" s="100" t="s">
        <v>10</v>
      </c>
      <c r="J73" s="101"/>
      <c r="K73" s="100" t="s">
        <v>11</v>
      </c>
      <c r="L73" s="71"/>
      <c r="M73" s="103" t="s">
        <v>12</v>
      </c>
    </row>
    <row r="74" spans="3:20" x14ac:dyDescent="0.25">
      <c r="H74" s="18" t="s">
        <v>158</v>
      </c>
      <c r="I74" s="28">
        <f>54547.35/120</f>
        <v>454.56124999999997</v>
      </c>
      <c r="J74" s="71"/>
      <c r="K74" s="28">
        <f>90391.79/240</f>
        <v>376.63245833333332</v>
      </c>
      <c r="L74" s="71"/>
      <c r="M74" s="47">
        <f>((K74*2)+I74)/3</f>
        <v>402.60872222222224</v>
      </c>
    </row>
    <row r="75" spans="3:20" x14ac:dyDescent="0.25">
      <c r="H75" s="27" t="s">
        <v>159</v>
      </c>
      <c r="I75" s="70">
        <f>17131.84/360</f>
        <v>47.588444444444448</v>
      </c>
      <c r="J75" s="71"/>
      <c r="K75" s="70">
        <f>17131.84/360</f>
        <v>47.588444444444448</v>
      </c>
      <c r="L75" s="71"/>
      <c r="M75" s="104">
        <f>K75</f>
        <v>47.588444444444448</v>
      </c>
    </row>
    <row r="76" spans="3:20" ht="16.5" x14ac:dyDescent="0.35">
      <c r="H76" s="20"/>
      <c r="I76" s="29">
        <f>SUM(I74:I75)</f>
        <v>502.14969444444444</v>
      </c>
      <c r="J76" s="71"/>
      <c r="K76" s="29">
        <f>SUM(K74:K75)</f>
        <v>424.22090277777778</v>
      </c>
      <c r="L76" s="71"/>
      <c r="M76" s="49">
        <f>SUM(M74:M75)</f>
        <v>450.1971666666667</v>
      </c>
    </row>
    <row r="77" spans="3:20" ht="15.75" thickBot="1" x14ac:dyDescent="0.3">
      <c r="H77" s="23"/>
      <c r="I77" s="24"/>
      <c r="J77" s="24"/>
      <c r="K77" s="24"/>
      <c r="L77" s="77"/>
      <c r="M77" s="50"/>
    </row>
  </sheetData>
  <phoneticPr fontId="9" type="noConversion"/>
  <printOptions horizontalCentered="1" verticalCentered="1" gridLines="1"/>
  <pageMargins left="0.45" right="0.45" top="1" bottom="0.53" header="0.3" footer="0.3"/>
  <headerFooter>
    <oddHeader>&amp;L&amp;Z
&amp;F
&amp;A&amp;R&amp;D
&amp;T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pane xSplit="6" ySplit="1" topLeftCell="G20" activePane="bottomRight" state="frozenSplit"/>
      <selection pane="topRight" activeCell="G1" sqref="G1"/>
      <selection pane="bottomLeft" activeCell="A2" sqref="A2"/>
      <selection pane="bottomRight" activeCell="F62" sqref="F62:J67"/>
    </sheetView>
  </sheetViews>
  <sheetFormatPr defaultColWidth="8.85546875" defaultRowHeight="15" x14ac:dyDescent="0.25"/>
  <cols>
    <col min="1" max="5" width="3" style="12" customWidth="1"/>
    <col min="6" max="6" width="32.28515625" style="12" customWidth="1"/>
    <col min="7" max="7" width="10.42578125" style="13" customWidth="1"/>
    <col min="8" max="8" width="7.42578125" customWidth="1"/>
    <col min="9" max="9" width="1.28515625" style="13" customWidth="1"/>
    <col min="10" max="10" width="14" style="13" bestFit="1" customWidth="1"/>
  </cols>
  <sheetData>
    <row r="1" spans="1:10" s="11" customFormat="1" ht="15.75" thickBot="1" x14ac:dyDescent="0.3">
      <c r="A1" s="9"/>
      <c r="B1" s="9"/>
      <c r="C1" s="9"/>
      <c r="D1" s="9"/>
      <c r="E1" s="9"/>
      <c r="F1" s="9"/>
      <c r="G1" s="10" t="s">
        <v>104</v>
      </c>
      <c r="J1" s="10" t="s">
        <v>8</v>
      </c>
    </row>
    <row r="2" spans="1:10" ht="15.75" thickTop="1" x14ac:dyDescent="0.25">
      <c r="A2" s="1"/>
      <c r="B2" s="1" t="s">
        <v>48</v>
      </c>
      <c r="C2" s="1"/>
      <c r="D2" s="1"/>
      <c r="E2" s="1"/>
      <c r="F2" s="1"/>
      <c r="G2" s="2"/>
      <c r="I2"/>
      <c r="J2" s="2"/>
    </row>
    <row r="3" spans="1:10" x14ac:dyDescent="0.25">
      <c r="A3" s="1"/>
      <c r="B3" s="1"/>
      <c r="C3" s="1" t="s">
        <v>49</v>
      </c>
      <c r="D3" s="1"/>
      <c r="E3" s="1"/>
      <c r="F3" s="1"/>
      <c r="G3" s="2"/>
      <c r="I3"/>
      <c r="J3" s="2"/>
    </row>
    <row r="4" spans="1:10" x14ac:dyDescent="0.25">
      <c r="A4" s="1"/>
      <c r="B4" s="1"/>
      <c r="C4" s="1"/>
      <c r="D4" s="1" t="s">
        <v>50</v>
      </c>
      <c r="E4" s="1"/>
      <c r="F4" s="1"/>
      <c r="G4" s="2"/>
      <c r="I4"/>
      <c r="J4" s="2"/>
    </row>
    <row r="5" spans="1:10" x14ac:dyDescent="0.25">
      <c r="A5" s="1"/>
      <c r="B5" s="1"/>
      <c r="C5" s="1"/>
      <c r="D5" s="1"/>
      <c r="E5" s="1" t="s">
        <v>91</v>
      </c>
      <c r="F5" s="1"/>
      <c r="G5" s="2">
        <v>96.65</v>
      </c>
      <c r="I5"/>
      <c r="J5" s="2">
        <v>500</v>
      </c>
    </row>
    <row r="6" spans="1:10" ht="15.75" thickBot="1" x14ac:dyDescent="0.3">
      <c r="A6" s="1"/>
      <c r="B6" s="1"/>
      <c r="C6" s="1"/>
      <c r="D6" s="1"/>
      <c r="E6" s="1" t="s">
        <v>90</v>
      </c>
      <c r="F6" s="1"/>
      <c r="G6" s="3">
        <v>28.01</v>
      </c>
      <c r="I6"/>
      <c r="J6" s="3">
        <v>100</v>
      </c>
    </row>
    <row r="7" spans="1:10" x14ac:dyDescent="0.25">
      <c r="A7" s="1"/>
      <c r="B7" s="1"/>
      <c r="C7" s="1"/>
      <c r="D7" s="1" t="s">
        <v>92</v>
      </c>
      <c r="E7" s="1"/>
      <c r="F7" s="1"/>
      <c r="G7" s="2">
        <f>ROUND(SUM(G4:G6),5)</f>
        <v>124.66</v>
      </c>
      <c r="I7"/>
      <c r="J7" s="2">
        <f>ROUND(SUM(J4:J6),5)</f>
        <v>600</v>
      </c>
    </row>
    <row r="8" spans="1:10" ht="30" customHeight="1" x14ac:dyDescent="0.25">
      <c r="A8" s="1"/>
      <c r="B8" s="1"/>
      <c r="C8" s="1"/>
      <c r="D8" s="1" t="s">
        <v>55</v>
      </c>
      <c r="E8" s="1"/>
      <c r="F8" s="1"/>
      <c r="G8" s="2"/>
      <c r="I8"/>
      <c r="J8" s="2">
        <v>11.83</v>
      </c>
    </row>
    <row r="9" spans="1:10" x14ac:dyDescent="0.25">
      <c r="A9" s="1"/>
      <c r="B9" s="1"/>
      <c r="C9" s="1"/>
      <c r="D9" s="1"/>
      <c r="E9" s="1" t="s">
        <v>57</v>
      </c>
      <c r="F9" s="1"/>
      <c r="G9" s="2"/>
      <c r="I9"/>
      <c r="J9" s="2"/>
    </row>
    <row r="10" spans="1:10" x14ac:dyDescent="0.25">
      <c r="A10" s="1"/>
      <c r="B10" s="1"/>
      <c r="C10" s="1"/>
      <c r="D10" s="1"/>
      <c r="E10" s="1"/>
      <c r="F10" s="1" t="s">
        <v>58</v>
      </c>
      <c r="G10" s="2">
        <v>-2150.09</v>
      </c>
      <c r="I10"/>
      <c r="J10" s="2">
        <v>-18000</v>
      </c>
    </row>
    <row r="11" spans="1:10" x14ac:dyDescent="0.25">
      <c r="A11" s="1"/>
      <c r="B11" s="1"/>
      <c r="C11" s="1"/>
      <c r="D11" s="1"/>
      <c r="E11" s="1"/>
      <c r="F11" s="1" t="s">
        <v>59</v>
      </c>
      <c r="G11" s="2">
        <v>106</v>
      </c>
      <c r="I11"/>
      <c r="J11" s="2">
        <v>867</v>
      </c>
    </row>
    <row r="12" spans="1:10" ht="15.75" thickBot="1" x14ac:dyDescent="0.3">
      <c r="A12" s="1"/>
      <c r="B12" s="1"/>
      <c r="C12" s="1"/>
      <c r="D12" s="1"/>
      <c r="E12" s="1"/>
      <c r="F12" s="1" t="s">
        <v>60</v>
      </c>
      <c r="G12" s="3">
        <v>146000</v>
      </c>
      <c r="I12"/>
      <c r="J12" s="3">
        <v>163050</v>
      </c>
    </row>
    <row r="13" spans="1:10" x14ac:dyDescent="0.25">
      <c r="A13" s="1"/>
      <c r="B13" s="1"/>
      <c r="C13" s="1"/>
      <c r="D13" s="1"/>
      <c r="E13" s="1" t="s">
        <v>61</v>
      </c>
      <c r="F13" s="1"/>
      <c r="G13" s="2">
        <f>ROUND(SUM(G9:G12),5)</f>
        <v>143955.91</v>
      </c>
      <c r="I13"/>
      <c r="J13" s="2">
        <f>ROUND(SUM(J10:J12),5)</f>
        <v>145917</v>
      </c>
    </row>
    <row r="14" spans="1:10" ht="30" customHeight="1" thickBot="1" x14ac:dyDescent="0.3">
      <c r="A14" s="1"/>
      <c r="B14" s="1"/>
      <c r="C14" s="1"/>
      <c r="D14" s="1"/>
      <c r="E14" s="1" t="s">
        <v>93</v>
      </c>
      <c r="F14" s="1"/>
      <c r="G14" s="4">
        <v>303.93</v>
      </c>
      <c r="I14"/>
      <c r="J14" s="4">
        <v>0</v>
      </c>
    </row>
    <row r="15" spans="1:10" ht="15.75" thickBot="1" x14ac:dyDescent="0.3">
      <c r="A15" s="1"/>
      <c r="B15" s="1"/>
      <c r="C15" s="1"/>
      <c r="D15" s="1" t="s">
        <v>62</v>
      </c>
      <c r="E15" s="1"/>
      <c r="F15" s="1"/>
      <c r="G15" s="5">
        <f>ROUND(G8+SUM(G13:G14),5)</f>
        <v>144259.84</v>
      </c>
      <c r="I15"/>
      <c r="J15" s="5">
        <f>ROUND(J9+SUM(J13:J14),5)</f>
        <v>145917</v>
      </c>
    </row>
    <row r="16" spans="1:10" ht="30" customHeight="1" x14ac:dyDescent="0.25">
      <c r="A16" s="1"/>
      <c r="B16" s="1"/>
      <c r="C16" s="1" t="s">
        <v>63</v>
      </c>
      <c r="D16" s="1"/>
      <c r="E16" s="1"/>
      <c r="F16" s="1"/>
      <c r="G16" s="2">
        <f>ROUND(G3+G7+G15,5)</f>
        <v>144384.5</v>
      </c>
      <c r="I16"/>
      <c r="J16" s="2">
        <f>ROUND(J3+SUM(J7:J8)+J15,5)</f>
        <v>146528.82999999999</v>
      </c>
    </row>
    <row r="17" spans="1:10" ht="30" customHeight="1" x14ac:dyDescent="0.25">
      <c r="A17" s="1"/>
      <c r="B17" s="1"/>
      <c r="C17" s="1" t="s">
        <v>64</v>
      </c>
      <c r="D17" s="1"/>
      <c r="E17" s="1"/>
      <c r="F17" s="1"/>
      <c r="G17" s="2"/>
      <c r="I17"/>
    </row>
    <row r="18" spans="1:10" x14ac:dyDescent="0.25">
      <c r="A18" s="1"/>
      <c r="B18" s="1"/>
      <c r="C18" s="1"/>
      <c r="D18" s="1" t="s">
        <v>68</v>
      </c>
      <c r="E18" s="1"/>
      <c r="F18" s="1"/>
      <c r="G18" s="2"/>
      <c r="I18"/>
      <c r="J18" s="2"/>
    </row>
    <row r="19" spans="1:10" x14ac:dyDescent="0.25">
      <c r="A19" s="1"/>
      <c r="B19" s="1"/>
      <c r="C19" s="1"/>
      <c r="D19" s="1"/>
      <c r="E19" s="1" t="s">
        <v>69</v>
      </c>
      <c r="F19" s="1"/>
      <c r="G19" s="2">
        <v>126.45</v>
      </c>
      <c r="I19"/>
      <c r="J19" s="2">
        <v>4.5</v>
      </c>
    </row>
    <row r="20" spans="1:10" x14ac:dyDescent="0.25">
      <c r="A20" s="1"/>
      <c r="B20" s="1"/>
      <c r="C20" s="1"/>
      <c r="D20" s="1"/>
      <c r="E20" s="1" t="s">
        <v>100</v>
      </c>
      <c r="F20" s="1"/>
      <c r="G20" s="2">
        <v>10</v>
      </c>
      <c r="I20"/>
    </row>
    <row r="21" spans="1:10" x14ac:dyDescent="0.25">
      <c r="A21" s="1"/>
      <c r="B21" s="1"/>
      <c r="C21" s="1"/>
      <c r="D21" s="1"/>
      <c r="E21" s="1" t="s">
        <v>101</v>
      </c>
      <c r="F21" s="1"/>
      <c r="G21" s="2">
        <v>548.04</v>
      </c>
      <c r="I21"/>
    </row>
    <row r="22" spans="1:10" ht="15.75" thickBot="1" x14ac:dyDescent="0.3">
      <c r="A22" s="1"/>
      <c r="B22" s="1"/>
      <c r="C22" s="1"/>
      <c r="D22" s="1"/>
      <c r="E22" s="1" t="s">
        <v>70</v>
      </c>
      <c r="F22" s="1"/>
      <c r="G22" s="3">
        <v>425</v>
      </c>
      <c r="I22"/>
      <c r="J22" s="3">
        <v>2361.77</v>
      </c>
    </row>
    <row r="23" spans="1:10" x14ac:dyDescent="0.25">
      <c r="A23" s="1"/>
      <c r="B23" s="1"/>
      <c r="C23" s="1"/>
      <c r="D23" s="1" t="s">
        <v>71</v>
      </c>
      <c r="E23" s="1"/>
      <c r="F23" s="1"/>
      <c r="G23" s="2">
        <f>ROUND(SUM(G18:G22),5)</f>
        <v>1109.49</v>
      </c>
      <c r="I23"/>
      <c r="J23" s="2">
        <f>ROUND(SUM(J19:J22),5)</f>
        <v>2366.27</v>
      </c>
    </row>
    <row r="24" spans="1:10" ht="30" customHeight="1" x14ac:dyDescent="0.25">
      <c r="A24" s="1"/>
      <c r="B24" s="1"/>
      <c r="C24" s="1"/>
      <c r="D24" s="1" t="s">
        <v>65</v>
      </c>
      <c r="E24" s="1"/>
      <c r="F24" s="1"/>
      <c r="G24" s="2"/>
      <c r="I24"/>
    </row>
    <row r="25" spans="1:10" x14ac:dyDescent="0.25">
      <c r="A25" s="1"/>
      <c r="B25" s="1"/>
      <c r="C25" s="1"/>
      <c r="D25" s="1"/>
      <c r="E25" s="1" t="s">
        <v>102</v>
      </c>
      <c r="F25" s="1"/>
      <c r="G25" s="2">
        <v>2600</v>
      </c>
      <c r="I25"/>
    </row>
    <row r="26" spans="1:10" ht="15.75" thickBot="1" x14ac:dyDescent="0.3">
      <c r="A26" s="1"/>
      <c r="B26" s="1"/>
      <c r="C26" s="1"/>
      <c r="D26" s="1"/>
      <c r="E26" s="1" t="s">
        <v>66</v>
      </c>
      <c r="F26" s="1"/>
      <c r="G26" s="3">
        <v>800</v>
      </c>
      <c r="I26"/>
      <c r="J26" s="3">
        <v>680</v>
      </c>
    </row>
    <row r="27" spans="1:10" x14ac:dyDescent="0.25">
      <c r="A27" s="1"/>
      <c r="B27" s="1"/>
      <c r="C27" s="1"/>
      <c r="D27" s="1" t="s">
        <v>67</v>
      </c>
      <c r="E27" s="1"/>
      <c r="F27" s="1"/>
      <c r="G27" s="2">
        <f>ROUND(SUM(G24:G26),5)</f>
        <v>3400</v>
      </c>
      <c r="I27"/>
      <c r="J27" s="2">
        <f>ROUND(SUM(J26:J26),5)</f>
        <v>680</v>
      </c>
    </row>
    <row r="28" spans="1:10" ht="30" customHeight="1" x14ac:dyDescent="0.25">
      <c r="A28" s="1"/>
      <c r="B28" s="1"/>
      <c r="C28" s="1"/>
      <c r="D28" s="1" t="s">
        <v>94</v>
      </c>
      <c r="E28" s="1"/>
      <c r="F28" s="1"/>
      <c r="G28" s="2"/>
      <c r="I28"/>
    </row>
    <row r="29" spans="1:10" ht="15.75" thickBot="1" x14ac:dyDescent="0.3">
      <c r="A29" s="1"/>
      <c r="B29" s="1"/>
      <c r="C29" s="1"/>
      <c r="D29" s="1"/>
      <c r="E29" s="1" t="s">
        <v>95</v>
      </c>
      <c r="F29" s="1"/>
      <c r="G29" s="3">
        <v>31.75</v>
      </c>
      <c r="I29"/>
    </row>
    <row r="30" spans="1:10" x14ac:dyDescent="0.25">
      <c r="A30" s="1"/>
      <c r="B30" s="1"/>
      <c r="C30" s="1"/>
      <c r="D30" s="1" t="s">
        <v>96</v>
      </c>
      <c r="E30" s="1"/>
      <c r="F30" s="1"/>
      <c r="G30" s="2">
        <f>ROUND(SUM(G28:G29),5)</f>
        <v>31.75</v>
      </c>
      <c r="I30"/>
    </row>
    <row r="31" spans="1:10" ht="30" customHeight="1" x14ac:dyDescent="0.25">
      <c r="A31" s="1"/>
      <c r="B31" s="1"/>
      <c r="C31" s="1"/>
      <c r="D31" s="1" t="s">
        <v>72</v>
      </c>
      <c r="E31" s="1"/>
      <c r="F31" s="1"/>
      <c r="G31" s="2"/>
      <c r="I31"/>
    </row>
    <row r="32" spans="1:10" x14ac:dyDescent="0.25">
      <c r="A32" s="1"/>
      <c r="B32" s="1"/>
      <c r="C32" s="1"/>
      <c r="D32" s="1"/>
      <c r="E32" s="1" t="s">
        <v>85</v>
      </c>
      <c r="F32" s="1"/>
      <c r="G32" s="2">
        <v>114247.71</v>
      </c>
      <c r="I32"/>
      <c r="J32" s="2">
        <v>112389.73</v>
      </c>
    </row>
    <row r="33" spans="1:10" x14ac:dyDescent="0.25">
      <c r="A33" s="1"/>
      <c r="B33" s="1"/>
      <c r="C33" s="1"/>
      <c r="D33" s="1"/>
      <c r="E33" s="1" t="s">
        <v>83</v>
      </c>
      <c r="F33" s="1"/>
      <c r="G33" s="2">
        <v>2928.89</v>
      </c>
      <c r="I33"/>
      <c r="J33" s="2">
        <v>4517.71</v>
      </c>
    </row>
    <row r="34" spans="1:10" x14ac:dyDescent="0.25">
      <c r="A34" s="1"/>
      <c r="B34" s="1"/>
      <c r="C34" s="1"/>
      <c r="D34" s="1"/>
      <c r="E34" s="1" t="s">
        <v>9</v>
      </c>
      <c r="F34" s="1"/>
      <c r="G34" s="2">
        <v>0</v>
      </c>
      <c r="I34"/>
    </row>
    <row r="35" spans="1:10" x14ac:dyDescent="0.25">
      <c r="A35" s="1"/>
      <c r="B35" s="1"/>
      <c r="C35" s="1"/>
      <c r="D35" s="1"/>
      <c r="E35" s="1" t="s">
        <v>4</v>
      </c>
      <c r="F35" s="1"/>
      <c r="G35" s="2">
        <v>1870</v>
      </c>
      <c r="I35"/>
    </row>
    <row r="36" spans="1:10" x14ac:dyDescent="0.25">
      <c r="A36" s="1"/>
      <c r="B36" s="1"/>
      <c r="C36" s="1"/>
      <c r="D36" s="1"/>
      <c r="E36" s="1" t="s">
        <v>0</v>
      </c>
      <c r="F36" s="1"/>
      <c r="G36" s="2">
        <v>424</v>
      </c>
      <c r="I36"/>
    </row>
    <row r="37" spans="1:10" x14ac:dyDescent="0.25">
      <c r="A37" s="1"/>
      <c r="B37" s="1"/>
      <c r="C37" s="1"/>
      <c r="D37" s="1"/>
      <c r="E37" s="1" t="s">
        <v>2</v>
      </c>
      <c r="F37" s="1"/>
      <c r="G37" s="2">
        <v>534.83000000000004</v>
      </c>
      <c r="I37"/>
    </row>
    <row r="38" spans="1:10" x14ac:dyDescent="0.25">
      <c r="A38" s="1"/>
      <c r="B38" s="1"/>
      <c r="C38" s="1"/>
      <c r="D38" s="1"/>
      <c r="E38" s="1" t="s">
        <v>82</v>
      </c>
      <c r="F38" s="1"/>
      <c r="G38" s="2">
        <v>5714.78</v>
      </c>
      <c r="I38"/>
      <c r="J38" s="2">
        <v>3695.85</v>
      </c>
    </row>
    <row r="39" spans="1:10" x14ac:dyDescent="0.25">
      <c r="A39" s="1"/>
      <c r="B39" s="1"/>
      <c r="C39" s="1"/>
      <c r="D39" s="1"/>
      <c r="E39" s="1" t="s">
        <v>78</v>
      </c>
      <c r="F39" s="1"/>
      <c r="G39" s="2">
        <v>557.84</v>
      </c>
      <c r="I39"/>
      <c r="J39" s="2">
        <v>344</v>
      </c>
    </row>
    <row r="40" spans="1:10" x14ac:dyDescent="0.25">
      <c r="A40" s="1"/>
      <c r="B40" s="1"/>
      <c r="C40" s="1"/>
      <c r="D40" s="1"/>
      <c r="E40" s="1" t="s">
        <v>79</v>
      </c>
      <c r="F40" s="1"/>
      <c r="G40" s="2">
        <v>517.74</v>
      </c>
      <c r="I40"/>
      <c r="J40" s="2">
        <v>545.75</v>
      </c>
    </row>
    <row r="41" spans="1:10" x14ac:dyDescent="0.25">
      <c r="A41" s="1"/>
      <c r="B41" s="1"/>
      <c r="C41" s="1"/>
      <c r="D41" s="1"/>
      <c r="E41" s="1" t="s">
        <v>1</v>
      </c>
      <c r="F41" s="1"/>
      <c r="G41" s="2">
        <v>462.42</v>
      </c>
      <c r="I41"/>
    </row>
    <row r="42" spans="1:10" x14ac:dyDescent="0.25">
      <c r="A42" s="1"/>
      <c r="B42" s="1"/>
      <c r="C42" s="1"/>
      <c r="D42" s="1"/>
      <c r="E42" s="1" t="s">
        <v>77</v>
      </c>
      <c r="F42" s="1"/>
      <c r="G42" s="2">
        <v>40.119999999999997</v>
      </c>
      <c r="I42"/>
      <c r="J42" s="2">
        <v>176</v>
      </c>
    </row>
    <row r="43" spans="1:10" x14ac:dyDescent="0.25">
      <c r="A43" s="1"/>
      <c r="B43" s="1"/>
      <c r="C43" s="1"/>
      <c r="D43" s="1"/>
      <c r="E43" s="1" t="s">
        <v>80</v>
      </c>
      <c r="F43" s="1"/>
      <c r="G43" s="2">
        <v>5549.8</v>
      </c>
      <c r="I43"/>
      <c r="J43" s="2">
        <v>1358.28</v>
      </c>
    </row>
    <row r="44" spans="1:10" x14ac:dyDescent="0.25">
      <c r="A44" s="1"/>
      <c r="B44" s="1"/>
      <c r="C44" s="1"/>
      <c r="D44" s="1"/>
      <c r="E44" s="1" t="s">
        <v>73</v>
      </c>
      <c r="F44" s="1"/>
      <c r="G44" s="2"/>
      <c r="I44"/>
      <c r="J44" s="2"/>
    </row>
    <row r="45" spans="1:10" x14ac:dyDescent="0.25">
      <c r="A45" s="1"/>
      <c r="B45" s="1"/>
      <c r="C45" s="1"/>
      <c r="D45" s="1"/>
      <c r="E45" s="1"/>
      <c r="F45" s="1" t="s">
        <v>74</v>
      </c>
      <c r="G45" s="2">
        <v>225</v>
      </c>
      <c r="I45"/>
      <c r="J45" s="4">
        <v>75</v>
      </c>
    </row>
    <row r="46" spans="1:10" ht="15.75" thickBot="1" x14ac:dyDescent="0.3">
      <c r="A46" s="1"/>
      <c r="B46" s="1"/>
      <c r="C46" s="1"/>
      <c r="D46" s="1"/>
      <c r="E46" s="1"/>
      <c r="F46" s="1" t="s">
        <v>5</v>
      </c>
      <c r="G46" s="3">
        <v>6085.29</v>
      </c>
      <c r="I46"/>
      <c r="J46" s="3"/>
    </row>
    <row r="47" spans="1:10" x14ac:dyDescent="0.25">
      <c r="A47" s="1"/>
      <c r="B47" s="1"/>
      <c r="C47" s="1"/>
      <c r="D47" s="1"/>
      <c r="E47" s="1" t="s">
        <v>75</v>
      </c>
      <c r="F47" s="1"/>
      <c r="G47" s="2">
        <f>ROUND(SUM(G44:G46),5)</f>
        <v>6310.29</v>
      </c>
      <c r="I47"/>
      <c r="J47" s="2">
        <f>ROUND(SUM(J44:J45),5)</f>
        <v>75</v>
      </c>
    </row>
    <row r="48" spans="1:10" ht="30" customHeight="1" x14ac:dyDescent="0.25">
      <c r="A48" s="1"/>
      <c r="B48" s="1"/>
      <c r="C48" s="1"/>
      <c r="D48" s="1"/>
      <c r="E48" s="1" t="s">
        <v>103</v>
      </c>
      <c r="F48" s="1"/>
      <c r="G48" s="2">
        <v>243.03</v>
      </c>
      <c r="I48"/>
    </row>
    <row r="49" spans="1:10" x14ac:dyDescent="0.25">
      <c r="A49" s="1"/>
      <c r="B49" s="1"/>
      <c r="C49" s="1"/>
      <c r="D49" s="1"/>
      <c r="E49" s="1" t="s">
        <v>3</v>
      </c>
      <c r="F49" s="1"/>
      <c r="G49" s="2">
        <v>989.9</v>
      </c>
      <c r="I49"/>
    </row>
    <row r="50" spans="1:10" x14ac:dyDescent="0.25">
      <c r="A50" s="1"/>
      <c r="B50" s="1"/>
      <c r="C50" s="1"/>
      <c r="D50" s="1"/>
      <c r="E50" s="1" t="s">
        <v>76</v>
      </c>
      <c r="F50" s="1"/>
      <c r="G50" s="2">
        <v>769.21</v>
      </c>
      <c r="I50"/>
      <c r="J50" s="2">
        <v>108.02</v>
      </c>
    </row>
    <row r="51" spans="1:10" ht="15.75" thickBot="1" x14ac:dyDescent="0.3">
      <c r="A51" s="1"/>
      <c r="B51" s="1"/>
      <c r="C51" s="1"/>
      <c r="D51" s="1"/>
      <c r="E51" s="1" t="s">
        <v>84</v>
      </c>
      <c r="F51" s="1"/>
      <c r="G51" s="3">
        <v>10875.8</v>
      </c>
      <c r="I51"/>
      <c r="J51" s="3">
        <v>7447.98</v>
      </c>
    </row>
    <row r="52" spans="1:10" x14ac:dyDescent="0.25">
      <c r="A52" s="1"/>
      <c r="B52" s="1"/>
      <c r="C52" s="1"/>
      <c r="D52" s="1" t="s">
        <v>86</v>
      </c>
      <c r="E52" s="1"/>
      <c r="F52" s="1"/>
      <c r="G52" s="2">
        <f>ROUND(SUM(G31:G43)+SUM(G47:G51),5)</f>
        <v>152036.35999999999</v>
      </c>
      <c r="I52"/>
      <c r="J52" s="2">
        <f>ROUND(SUM(J31:J43)+SUM(J47:J51),5)</f>
        <v>130658.32</v>
      </c>
    </row>
    <row r="53" spans="1:10" ht="30" customHeight="1" x14ac:dyDescent="0.25">
      <c r="A53" s="1"/>
      <c r="B53" s="1"/>
      <c r="C53" s="1"/>
      <c r="D53" s="1" t="s">
        <v>97</v>
      </c>
      <c r="E53" s="1"/>
      <c r="F53" s="1"/>
      <c r="G53" s="2"/>
      <c r="I53"/>
    </row>
    <row r="54" spans="1:10" ht="15.75" thickBot="1" x14ac:dyDescent="0.3">
      <c r="A54" s="1"/>
      <c r="B54" s="1"/>
      <c r="C54" s="1"/>
      <c r="D54" s="1"/>
      <c r="E54" s="1" t="s">
        <v>98</v>
      </c>
      <c r="F54" s="1"/>
      <c r="G54" s="4">
        <v>73.48</v>
      </c>
      <c r="I54"/>
    </row>
    <row r="55" spans="1:10" ht="15.75" thickBot="1" x14ac:dyDescent="0.3">
      <c r="A55" s="1"/>
      <c r="B55" s="1"/>
      <c r="C55" s="1"/>
      <c r="D55" s="1" t="s">
        <v>99</v>
      </c>
      <c r="E55" s="1"/>
      <c r="F55" s="1"/>
      <c r="G55" s="6">
        <f>ROUND(SUM(G53:G54),5)</f>
        <v>73.48</v>
      </c>
      <c r="I55"/>
      <c r="J55" s="6">
        <f>ROUND(SUM(J53:J54),5)</f>
        <v>0</v>
      </c>
    </row>
    <row r="56" spans="1:10" ht="30" customHeight="1" thickBot="1" x14ac:dyDescent="0.3">
      <c r="A56" s="1"/>
      <c r="B56" s="1"/>
      <c r="C56" s="1" t="s">
        <v>87</v>
      </c>
      <c r="D56" s="1"/>
      <c r="E56" s="1"/>
      <c r="F56" s="1"/>
      <c r="G56" s="6">
        <f>ROUND(G17+G23+G27+G30+G52+G55,5)</f>
        <v>156651.07999999999</v>
      </c>
      <c r="I56"/>
      <c r="J56" s="6">
        <f>ROUND(J17+J23+J27+J30+J52+J55,5)</f>
        <v>133704.59</v>
      </c>
    </row>
    <row r="57" spans="1:10" ht="30" customHeight="1" thickBot="1" x14ac:dyDescent="0.3">
      <c r="A57" s="1"/>
      <c r="B57" s="1" t="s">
        <v>88</v>
      </c>
      <c r="C57" s="1"/>
      <c r="D57" s="1"/>
      <c r="E57" s="1"/>
      <c r="F57" s="1"/>
      <c r="G57" s="6">
        <f>ROUND(G2+G16-G56,5)</f>
        <v>-12266.58</v>
      </c>
      <c r="I57"/>
      <c r="J57" s="6">
        <f>ROUND(J2+J16-J56,5)</f>
        <v>12824.24</v>
      </c>
    </row>
    <row r="58" spans="1:10" s="8" customFormat="1" ht="30" customHeight="1" thickBot="1" x14ac:dyDescent="0.25">
      <c r="A58" s="1" t="s">
        <v>105</v>
      </c>
      <c r="B58" s="1"/>
      <c r="C58" s="1"/>
      <c r="D58" s="1"/>
      <c r="E58" s="1"/>
      <c r="F58" s="1"/>
      <c r="G58" s="7">
        <f>G57</f>
        <v>-12266.58</v>
      </c>
      <c r="J58" s="7">
        <f>J57</f>
        <v>12824.24</v>
      </c>
    </row>
    <row r="59" spans="1:10" s="8" customFormat="1" ht="15.75" thickTop="1" x14ac:dyDescent="0.25">
      <c r="A59" s="12"/>
      <c r="B59" s="12"/>
      <c r="C59" s="12"/>
      <c r="D59" s="12"/>
      <c r="E59" s="12"/>
      <c r="F59" s="12"/>
      <c r="G59" s="13"/>
      <c r="H59"/>
      <c r="I59"/>
      <c r="J59" s="13"/>
    </row>
    <row r="60" spans="1:10" x14ac:dyDescent="0.25">
      <c r="I60"/>
    </row>
    <row r="61" spans="1:10" ht="15.75" thickBot="1" x14ac:dyDescent="0.3">
      <c r="I61"/>
    </row>
    <row r="62" spans="1:10" x14ac:dyDescent="0.25">
      <c r="F62" s="15"/>
      <c r="G62" s="26" t="s">
        <v>157</v>
      </c>
      <c r="H62" s="16"/>
      <c r="I62" s="16"/>
      <c r="J62" s="45" t="s">
        <v>12</v>
      </c>
    </row>
    <row r="63" spans="1:10" x14ac:dyDescent="0.25">
      <c r="F63" s="20"/>
      <c r="G63" s="41" t="s">
        <v>10</v>
      </c>
      <c r="H63" s="42" t="s">
        <v>11</v>
      </c>
      <c r="I63" s="40"/>
      <c r="J63" s="46"/>
    </row>
    <row r="64" spans="1:10" x14ac:dyDescent="0.25">
      <c r="F64" s="18" t="s">
        <v>158</v>
      </c>
      <c r="G64" s="28">
        <f>54547.35/120</f>
        <v>454.56124999999997</v>
      </c>
      <c r="H64" s="28">
        <f>90391.79/240</f>
        <v>376.63245833333332</v>
      </c>
      <c r="I64" s="43"/>
      <c r="J64" s="47">
        <f>((H64*2)+G64)/3</f>
        <v>402.60872222222224</v>
      </c>
    </row>
    <row r="65" spans="6:10" x14ac:dyDescent="0.25">
      <c r="F65" s="27" t="s">
        <v>159</v>
      </c>
      <c r="G65" s="44">
        <f>17131.84/360</f>
        <v>47.588444444444448</v>
      </c>
      <c r="H65" s="44">
        <f>17131.84/360</f>
        <v>47.588444444444448</v>
      </c>
      <c r="I65" s="40"/>
      <c r="J65" s="48">
        <f>H65</f>
        <v>47.588444444444448</v>
      </c>
    </row>
    <row r="66" spans="6:10" ht="16.5" x14ac:dyDescent="0.35">
      <c r="F66" s="20"/>
      <c r="G66" s="29">
        <f>SUM(G64:G65)</f>
        <v>502.14969444444444</v>
      </c>
      <c r="H66" s="29">
        <f>SUM(H64:H65)</f>
        <v>424.22090277777778</v>
      </c>
      <c r="I66" s="40"/>
      <c r="J66" s="49">
        <f>SUM(J64:J65)</f>
        <v>450.1971666666667</v>
      </c>
    </row>
    <row r="67" spans="6:10" ht="15.75" thickBot="1" x14ac:dyDescent="0.3">
      <c r="F67" s="23"/>
      <c r="G67" s="24"/>
      <c r="H67" s="24"/>
      <c r="I67" s="24"/>
      <c r="J67" s="50"/>
    </row>
  </sheetData>
  <phoneticPr fontId="9" type="noConversion"/>
  <pageMargins left="0.7" right="0.7" top="1.04" bottom="0.64" header="0.25" footer="0.3"/>
  <headerFooter>
    <oddHeader>&amp;L&amp;"Arial,Bold"&amp;8 9:06 PM
 08/12/11
 Accrual Basis&amp;C&amp;"Arial,Bold"&amp;12 Rocky Mountain RYLA
&amp;14Statement of Activities
&amp;10 July 2010 through June 2011</oddHeader>
    <oddFooter>&amp;R&amp;"Arial,Bold"&amp;8 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pane xSplit="5" ySplit="1" topLeftCell="F11" activePane="bottomRight" state="frozenSplit"/>
      <selection pane="topRight" activeCell="F1" sqref="F1"/>
      <selection pane="bottomLeft" activeCell="A2" sqref="A2"/>
      <selection pane="bottomRight" activeCell="E21" sqref="E21:I26"/>
    </sheetView>
  </sheetViews>
  <sheetFormatPr defaultColWidth="8.85546875" defaultRowHeight="15" x14ac:dyDescent="0.25"/>
  <cols>
    <col min="1" max="4" width="3" style="12" customWidth="1"/>
    <col min="5" max="5" width="53.7109375" style="12" customWidth="1"/>
    <col min="6" max="6" width="12.28515625" style="13" bestFit="1" customWidth="1"/>
    <col min="7" max="7" width="4.42578125" customWidth="1"/>
    <col min="8" max="8" width="13.42578125" customWidth="1"/>
  </cols>
  <sheetData>
    <row r="1" spans="1:8" s="11" customFormat="1" ht="24" thickBot="1" x14ac:dyDescent="0.3">
      <c r="A1" s="9"/>
      <c r="B1" s="9"/>
      <c r="C1" s="9"/>
      <c r="D1" s="9"/>
      <c r="E1" s="9"/>
      <c r="F1" s="34" t="s">
        <v>104</v>
      </c>
      <c r="G1" s="39"/>
      <c r="H1" s="34" t="s">
        <v>8</v>
      </c>
    </row>
    <row r="2" spans="1:8" ht="15.75" thickTop="1" x14ac:dyDescent="0.25">
      <c r="A2" s="1"/>
      <c r="B2" s="1"/>
      <c r="C2" s="1" t="s">
        <v>141</v>
      </c>
      <c r="D2" s="1"/>
      <c r="E2" s="1"/>
      <c r="F2" s="2"/>
      <c r="H2" s="2"/>
    </row>
    <row r="3" spans="1:8" x14ac:dyDescent="0.25">
      <c r="A3" s="1"/>
      <c r="B3" s="1"/>
      <c r="C3" s="1"/>
      <c r="D3" s="1" t="s">
        <v>105</v>
      </c>
      <c r="E3" s="1"/>
      <c r="F3" s="2">
        <v>-12266.58</v>
      </c>
      <c r="H3" s="2">
        <v>12824.24</v>
      </c>
    </row>
    <row r="4" spans="1:8" x14ac:dyDescent="0.25">
      <c r="A4" s="1"/>
      <c r="B4" s="1"/>
      <c r="C4" s="1"/>
      <c r="D4" s="1" t="s">
        <v>142</v>
      </c>
      <c r="E4" s="1"/>
      <c r="F4" s="2"/>
      <c r="H4" s="2"/>
    </row>
    <row r="5" spans="1:8" x14ac:dyDescent="0.25">
      <c r="A5" s="1"/>
      <c r="B5" s="1"/>
      <c r="C5" s="1"/>
      <c r="D5" s="1" t="s">
        <v>143</v>
      </c>
      <c r="E5" s="1"/>
      <c r="F5" s="2"/>
      <c r="H5" s="2"/>
    </row>
    <row r="6" spans="1:8" x14ac:dyDescent="0.25">
      <c r="A6" s="1"/>
      <c r="B6" s="1"/>
      <c r="C6" s="1"/>
      <c r="D6" s="1"/>
      <c r="E6" s="1" t="s">
        <v>114</v>
      </c>
      <c r="F6" s="2">
        <v>25391.25</v>
      </c>
      <c r="H6" s="2">
        <v>19825</v>
      </c>
    </row>
    <row r="7" spans="1:8" x14ac:dyDescent="0.25">
      <c r="A7" s="1"/>
      <c r="B7" s="1"/>
      <c r="C7" s="1"/>
      <c r="D7" s="1"/>
      <c r="E7" s="1" t="s">
        <v>144</v>
      </c>
      <c r="F7" s="2">
        <v>-675</v>
      </c>
      <c r="H7" s="2">
        <v>75</v>
      </c>
    </row>
    <row r="8" spans="1:8" x14ac:dyDescent="0.25">
      <c r="A8" s="1"/>
      <c r="B8" s="1"/>
      <c r="C8" s="1"/>
      <c r="D8" s="1"/>
      <c r="E8" s="1" t="s">
        <v>7</v>
      </c>
      <c r="F8" s="2">
        <v>-11680</v>
      </c>
      <c r="H8" s="2">
        <v>-16916</v>
      </c>
    </row>
    <row r="9" spans="1:8" x14ac:dyDescent="0.25">
      <c r="A9" s="1"/>
      <c r="B9" s="1"/>
      <c r="C9" s="1"/>
      <c r="D9" s="1"/>
      <c r="E9" s="1" t="s">
        <v>145</v>
      </c>
      <c r="F9" s="2">
        <v>-3972.71</v>
      </c>
      <c r="H9" s="2">
        <v>934.18</v>
      </c>
    </row>
    <row r="10" spans="1:8" x14ac:dyDescent="0.25">
      <c r="A10" s="1"/>
      <c r="B10" s="1"/>
      <c r="C10" s="1"/>
      <c r="D10" s="1"/>
      <c r="E10" s="1" t="s">
        <v>130</v>
      </c>
      <c r="F10" s="2">
        <v>17050</v>
      </c>
      <c r="H10" s="2">
        <v>-163050</v>
      </c>
    </row>
    <row r="11" spans="1:8" ht="15.75" thickBot="1" x14ac:dyDescent="0.3">
      <c r="A11" s="1"/>
      <c r="B11" s="1"/>
      <c r="C11" s="1"/>
      <c r="D11" s="1"/>
      <c r="E11" s="1" t="s">
        <v>146</v>
      </c>
      <c r="F11" s="3">
        <v>-5550</v>
      </c>
      <c r="H11" s="3">
        <v>18000</v>
      </c>
    </row>
    <row r="12" spans="1:8" x14ac:dyDescent="0.25">
      <c r="A12" s="1"/>
      <c r="B12" s="1"/>
      <c r="C12" s="1" t="s">
        <v>147</v>
      </c>
      <c r="D12" s="1"/>
      <c r="E12" s="1"/>
      <c r="F12" s="2">
        <f>ROUND(SUM(F2:F3)+SUM(F6:F11),5)</f>
        <v>8296.9599999999991</v>
      </c>
      <c r="H12" s="2">
        <f>ROUND(SUM(H2:H3)+SUM(H6:H11),5)</f>
        <v>-128307.58</v>
      </c>
    </row>
    <row r="13" spans="1:8" ht="30" customHeight="1" x14ac:dyDescent="0.25">
      <c r="A13" s="1"/>
      <c r="B13" s="1"/>
      <c r="C13" s="1" t="s">
        <v>148</v>
      </c>
      <c r="D13" s="1"/>
      <c r="E13" s="1"/>
      <c r="F13" s="2"/>
      <c r="H13" s="2"/>
    </row>
    <row r="14" spans="1:8" ht="15.75" thickBot="1" x14ac:dyDescent="0.3">
      <c r="A14" s="1"/>
      <c r="B14" s="1"/>
      <c r="C14" s="1"/>
      <c r="D14" s="1" t="s">
        <v>120</v>
      </c>
      <c r="E14" s="1"/>
      <c r="F14" s="4">
        <v>-2114.86</v>
      </c>
      <c r="H14" s="4">
        <v>-450</v>
      </c>
    </row>
    <row r="15" spans="1:8" ht="15.75" thickBot="1" x14ac:dyDescent="0.3">
      <c r="A15" s="1"/>
      <c r="B15" s="1"/>
      <c r="C15" s="1" t="s">
        <v>149</v>
      </c>
      <c r="D15" s="1"/>
      <c r="E15" s="1"/>
      <c r="F15" s="5">
        <f>ROUND(SUM(F13:F14),5)</f>
        <v>-2114.86</v>
      </c>
      <c r="H15" s="5">
        <f>ROUND(SUM(H13:H14),5)</f>
        <v>-450</v>
      </c>
    </row>
    <row r="16" spans="1:8" ht="30" customHeight="1" x14ac:dyDescent="0.25">
      <c r="A16" s="1"/>
      <c r="B16" s="1" t="s">
        <v>150</v>
      </c>
      <c r="C16" s="1"/>
      <c r="D16" s="1"/>
      <c r="E16" s="1"/>
      <c r="F16" s="2">
        <f>ROUND(F12+F15,5)</f>
        <v>6182.1</v>
      </c>
      <c r="H16" s="2">
        <f>ROUND(H12+H15,5)</f>
        <v>-128757.58</v>
      </c>
    </row>
    <row r="17" spans="1:9" ht="30" customHeight="1" thickBot="1" x14ac:dyDescent="0.3">
      <c r="A17" s="1"/>
      <c r="B17" s="1" t="s">
        <v>151</v>
      </c>
      <c r="C17" s="1"/>
      <c r="D17" s="1"/>
      <c r="E17" s="1"/>
      <c r="F17" s="4">
        <v>173484.01</v>
      </c>
      <c r="H17" s="4">
        <v>179666.11</v>
      </c>
    </row>
    <row r="18" spans="1:9" s="8" customFormat="1" ht="15.95" customHeight="1" thickBot="1" x14ac:dyDescent="0.25">
      <c r="A18" s="1" t="s">
        <v>152</v>
      </c>
      <c r="B18" s="1"/>
      <c r="C18" s="1"/>
      <c r="D18" s="1"/>
      <c r="E18" s="1"/>
      <c r="F18" s="7">
        <f>ROUND(SUM(F16:F17),5)</f>
        <v>179666.11</v>
      </c>
      <c r="H18" s="7">
        <f>ROUND(SUM(H16:H17),5)</f>
        <v>50908.53</v>
      </c>
    </row>
    <row r="19" spans="1:9" ht="15.75" thickTop="1" x14ac:dyDescent="0.25"/>
    <row r="20" spans="1:9" ht="15.75" thickBot="1" x14ac:dyDescent="0.3"/>
    <row r="21" spans="1:9" ht="30" x14ac:dyDescent="0.25">
      <c r="E21" s="15"/>
      <c r="F21" s="26" t="s">
        <v>157</v>
      </c>
      <c r="G21" s="16"/>
      <c r="H21" s="16"/>
      <c r="I21" s="45" t="s">
        <v>12</v>
      </c>
    </row>
    <row r="22" spans="1:9" x14ac:dyDescent="0.25">
      <c r="E22" s="20"/>
      <c r="F22" s="41" t="s">
        <v>10</v>
      </c>
      <c r="G22" s="51"/>
      <c r="H22" s="42" t="s">
        <v>11</v>
      </c>
      <c r="I22" s="46"/>
    </row>
    <row r="23" spans="1:9" x14ac:dyDescent="0.25">
      <c r="E23" s="18" t="s">
        <v>158</v>
      </c>
      <c r="F23" s="28">
        <f>54547.35/120</f>
        <v>454.56124999999997</v>
      </c>
      <c r="G23" s="51"/>
      <c r="H23" s="28">
        <f>90391.79/240</f>
        <v>376.63245833333332</v>
      </c>
      <c r="I23" s="47">
        <f>((H23*2)+F23)/3</f>
        <v>402.60872222222224</v>
      </c>
    </row>
    <row r="24" spans="1:9" x14ac:dyDescent="0.25">
      <c r="E24" s="27" t="s">
        <v>159</v>
      </c>
      <c r="F24" s="44">
        <f>17131.84/360</f>
        <v>47.588444444444448</v>
      </c>
      <c r="G24" s="51"/>
      <c r="H24" s="44">
        <f>17131.84/360</f>
        <v>47.588444444444448</v>
      </c>
      <c r="I24" s="48">
        <f>H24</f>
        <v>47.588444444444448</v>
      </c>
    </row>
    <row r="25" spans="1:9" ht="16.5" x14ac:dyDescent="0.35">
      <c r="E25" s="20"/>
      <c r="F25" s="29">
        <f>SUM(F23:F24)</f>
        <v>502.14969444444444</v>
      </c>
      <c r="G25" s="51"/>
      <c r="H25" s="29">
        <f>SUM(H23:H24)</f>
        <v>424.22090277777778</v>
      </c>
      <c r="I25" s="49">
        <f>SUM(I23:I24)</f>
        <v>450.1971666666667</v>
      </c>
    </row>
    <row r="26" spans="1:9" ht="15.75" thickBot="1" x14ac:dyDescent="0.3">
      <c r="E26" s="23"/>
      <c r="F26" s="24"/>
      <c r="G26" s="24"/>
      <c r="H26" s="24"/>
      <c r="I26" s="50"/>
    </row>
  </sheetData>
  <phoneticPr fontId="9" type="noConversion"/>
  <pageMargins left="0.7" right="0.7" top="0.75" bottom="0.75" header="0.25" footer="0.3"/>
  <headerFooter>
    <oddHeader>&amp;L&amp;"Arial,Bold"&amp;8 9:03 PM
&amp;"Arial,Bold"&amp;8 08/12/11
&amp;"Arial,Bold"&amp;8 &amp;C&amp;"Arial,Bold"&amp;12 Rocky Mountain RYLA
&amp;"Arial,Bold"&amp;14 Statement of Cash Flows
&amp;"Arial,Bold"&amp;10 July 2010 through June 2011</oddHeader>
    <oddFooter>&amp;R&amp;"Arial,Bold"&amp;8 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5"/>
  <sheetViews>
    <sheetView workbookViewId="0">
      <pane xSplit="6" ySplit="1" topLeftCell="G38" activePane="bottomRight" state="frozenSplit"/>
      <selection pane="topRight" activeCell="G1" sqref="G1"/>
      <selection pane="bottomLeft" activeCell="A2" sqref="A2"/>
      <selection pane="bottomRight" activeCell="F40" sqref="F40"/>
    </sheetView>
  </sheetViews>
  <sheetFormatPr defaultColWidth="8.85546875" defaultRowHeight="15" x14ac:dyDescent="0.25"/>
  <cols>
    <col min="1" max="5" width="3" style="12" customWidth="1"/>
    <col min="6" max="6" width="32.28515625" style="12" customWidth="1"/>
    <col min="7" max="7" width="9.140625" style="13" customWidth="1"/>
    <col min="8" max="8" width="2.7109375" style="13" customWidth="1"/>
    <col min="9" max="9" width="15.42578125" style="13" bestFit="1" customWidth="1"/>
    <col min="10" max="10" width="2.42578125" style="13" customWidth="1"/>
    <col min="11" max="11" width="16.42578125" style="13" bestFit="1" customWidth="1"/>
    <col min="12" max="12" width="2.28515625" style="13" customWidth="1"/>
    <col min="13" max="13" width="10.42578125" style="13" bestFit="1" customWidth="1"/>
    <col min="14" max="14" width="2.28515625" style="13" customWidth="1"/>
    <col min="15" max="15" width="8.7109375" style="13" bestFit="1" customWidth="1"/>
  </cols>
  <sheetData>
    <row r="1" spans="1:15" s="11" customFormat="1" ht="15.75" thickBot="1" x14ac:dyDescent="0.3">
      <c r="A1" s="9"/>
      <c r="B1" s="9"/>
      <c r="C1" s="9"/>
      <c r="D1" s="9"/>
      <c r="E1" s="9"/>
      <c r="F1" s="9"/>
      <c r="G1" s="10" t="s">
        <v>43</v>
      </c>
      <c r="H1" s="38"/>
      <c r="I1" s="10" t="s">
        <v>44</v>
      </c>
      <c r="J1" s="38"/>
      <c r="K1" s="10" t="s">
        <v>45</v>
      </c>
      <c r="L1" s="38"/>
      <c r="M1" s="10" t="s">
        <v>46</v>
      </c>
      <c r="N1" s="38"/>
      <c r="O1" s="10" t="s">
        <v>47</v>
      </c>
    </row>
    <row r="2" spans="1:15" ht="15.75" thickTop="1" x14ac:dyDescent="0.25">
      <c r="A2" s="1"/>
      <c r="B2" s="1" t="s">
        <v>48</v>
      </c>
      <c r="C2" s="1"/>
      <c r="D2" s="1"/>
      <c r="E2" s="1"/>
      <c r="F2" s="1"/>
      <c r="G2" s="2"/>
      <c r="H2" s="33"/>
      <c r="I2" s="2"/>
      <c r="J2" s="33"/>
      <c r="K2" s="2"/>
      <c r="L2" s="33"/>
      <c r="M2" s="2"/>
      <c r="N2" s="33"/>
      <c r="O2" s="2"/>
    </row>
    <row r="3" spans="1:15" x14ac:dyDescent="0.25">
      <c r="A3" s="1"/>
      <c r="B3" s="1"/>
      <c r="C3" s="1" t="s">
        <v>49</v>
      </c>
      <c r="D3" s="1"/>
      <c r="E3" s="1"/>
      <c r="F3" s="1"/>
      <c r="G3" s="2"/>
      <c r="H3" s="33"/>
      <c r="I3" s="2"/>
      <c r="J3" s="33"/>
      <c r="K3" s="2"/>
      <c r="L3" s="33"/>
      <c r="M3" s="2"/>
      <c r="N3" s="33"/>
      <c r="O3" s="2"/>
    </row>
    <row r="4" spans="1:15" x14ac:dyDescent="0.25">
      <c r="A4" s="1"/>
      <c r="B4" s="1"/>
      <c r="C4" s="1"/>
      <c r="D4" s="1" t="s">
        <v>50</v>
      </c>
      <c r="E4" s="1"/>
      <c r="F4" s="1"/>
      <c r="G4" s="2"/>
      <c r="H4" s="33"/>
      <c r="I4" s="2"/>
      <c r="J4" s="33"/>
      <c r="K4" s="2"/>
      <c r="L4" s="33"/>
      <c r="M4" s="2"/>
      <c r="N4" s="33"/>
      <c r="O4" s="2"/>
    </row>
    <row r="5" spans="1:15" x14ac:dyDescent="0.25">
      <c r="A5" s="1"/>
      <c r="B5" s="1"/>
      <c r="C5" s="1"/>
      <c r="D5" s="1"/>
      <c r="E5" s="1" t="s">
        <v>90</v>
      </c>
      <c r="F5" s="1"/>
      <c r="G5" s="2">
        <v>28.01</v>
      </c>
      <c r="H5" s="33"/>
      <c r="I5" s="2">
        <v>0</v>
      </c>
      <c r="J5" s="33"/>
      <c r="K5" s="2">
        <v>0</v>
      </c>
      <c r="L5" s="33"/>
      <c r="M5" s="2">
        <v>0</v>
      </c>
      <c r="N5" s="33"/>
      <c r="O5" s="2">
        <f>ROUND(SUM(G5:M5),5)</f>
        <v>28.01</v>
      </c>
    </row>
    <row r="6" spans="1:15" ht="15.75" thickBot="1" x14ac:dyDescent="0.3">
      <c r="A6" s="1"/>
      <c r="B6" s="1"/>
      <c r="C6" s="1"/>
      <c r="D6" s="1"/>
      <c r="E6" s="1" t="s">
        <v>91</v>
      </c>
      <c r="F6" s="1"/>
      <c r="G6" s="3">
        <v>95.12</v>
      </c>
      <c r="H6" s="33"/>
      <c r="I6" s="3">
        <v>0</v>
      </c>
      <c r="J6" s="33"/>
      <c r="K6" s="3">
        <v>0</v>
      </c>
      <c r="L6" s="33"/>
      <c r="M6" s="3">
        <v>1.53</v>
      </c>
      <c r="N6" s="33"/>
      <c r="O6" s="3">
        <f>ROUND(SUM(G6:M6),5)</f>
        <v>96.65</v>
      </c>
    </row>
    <row r="7" spans="1:15" x14ac:dyDescent="0.25">
      <c r="A7" s="1"/>
      <c r="B7" s="1"/>
      <c r="C7" s="1"/>
      <c r="D7" s="1" t="s">
        <v>92</v>
      </c>
      <c r="E7" s="1"/>
      <c r="F7" s="1"/>
      <c r="G7" s="2">
        <f>ROUND(G4+G6+G5,5)</f>
        <v>123.13</v>
      </c>
      <c r="H7" s="33"/>
      <c r="I7" s="2">
        <f>ROUND(I4+I6+I5,5)</f>
        <v>0</v>
      </c>
      <c r="J7" s="33"/>
      <c r="K7" s="2">
        <f>ROUND(K4+K6+K5,5)</f>
        <v>0</v>
      </c>
      <c r="L7" s="33"/>
      <c r="M7" s="2">
        <f>ROUND(M4+M6+M5,5)</f>
        <v>1.53</v>
      </c>
      <c r="N7" s="33"/>
      <c r="O7" s="2">
        <f>ROUND(SUM(G7:M7),5)</f>
        <v>124.66</v>
      </c>
    </row>
    <row r="8" spans="1:15" ht="30" customHeight="1" x14ac:dyDescent="0.25">
      <c r="A8" s="1"/>
      <c r="B8" s="1"/>
      <c r="C8" s="1"/>
      <c r="D8" s="1" t="s">
        <v>55</v>
      </c>
      <c r="E8" s="1"/>
      <c r="F8" s="1"/>
      <c r="G8" s="2"/>
      <c r="H8" s="33"/>
      <c r="I8" s="2"/>
      <c r="J8" s="33"/>
      <c r="K8" s="2"/>
      <c r="L8" s="33"/>
      <c r="M8" s="2"/>
      <c r="N8" s="33"/>
      <c r="O8" s="2"/>
    </row>
    <row r="9" spans="1:15" x14ac:dyDescent="0.25">
      <c r="A9" s="1"/>
      <c r="B9" s="1"/>
      <c r="C9" s="1"/>
      <c r="D9" s="1"/>
      <c r="E9" s="1" t="s">
        <v>93</v>
      </c>
      <c r="F9" s="1"/>
      <c r="G9" s="2">
        <v>303.93</v>
      </c>
      <c r="H9" s="33"/>
      <c r="I9" s="2">
        <v>0</v>
      </c>
      <c r="J9" s="33"/>
      <c r="K9" s="2">
        <v>0</v>
      </c>
      <c r="L9" s="33"/>
      <c r="M9" s="2">
        <v>0</v>
      </c>
      <c r="N9" s="33"/>
      <c r="O9" s="2">
        <f>ROUND(SUM(G9:M9),5)</f>
        <v>303.93</v>
      </c>
    </row>
    <row r="10" spans="1:15" x14ac:dyDescent="0.25">
      <c r="A10" s="1"/>
      <c r="B10" s="1"/>
      <c r="C10" s="1"/>
      <c r="D10" s="1"/>
      <c r="E10" s="1" t="s">
        <v>57</v>
      </c>
      <c r="F10" s="1"/>
      <c r="G10" s="2"/>
      <c r="H10" s="33"/>
      <c r="I10" s="2"/>
      <c r="J10" s="33"/>
      <c r="K10" s="2"/>
      <c r="L10" s="33"/>
      <c r="M10" s="2"/>
      <c r="N10" s="33"/>
      <c r="O10" s="2"/>
    </row>
    <row r="11" spans="1:15" x14ac:dyDescent="0.25">
      <c r="A11" s="1"/>
      <c r="B11" s="1"/>
      <c r="C11" s="1"/>
      <c r="D11" s="1"/>
      <c r="E11" s="1"/>
      <c r="F11" s="1" t="s">
        <v>58</v>
      </c>
      <c r="G11" s="2">
        <v>-5952.96</v>
      </c>
      <c r="H11" s="33"/>
      <c r="I11" s="2">
        <v>3802.87</v>
      </c>
      <c r="J11" s="33"/>
      <c r="K11" s="2">
        <v>0</v>
      </c>
      <c r="L11" s="33"/>
      <c r="M11" s="2">
        <v>0</v>
      </c>
      <c r="N11" s="33"/>
      <c r="O11" s="2">
        <f t="shared" ref="O11:O16" si="0">ROUND(SUM(G11:M11),5)</f>
        <v>-2150.09</v>
      </c>
    </row>
    <row r="12" spans="1:15" x14ac:dyDescent="0.25">
      <c r="A12" s="1"/>
      <c r="B12" s="1"/>
      <c r="C12" s="1"/>
      <c r="D12" s="1"/>
      <c r="E12" s="1"/>
      <c r="F12" s="1" t="s">
        <v>59</v>
      </c>
      <c r="G12" s="2">
        <v>106</v>
      </c>
      <c r="H12" s="33"/>
      <c r="I12" s="2">
        <v>0</v>
      </c>
      <c r="J12" s="33"/>
      <c r="K12" s="2">
        <v>0</v>
      </c>
      <c r="L12" s="33"/>
      <c r="M12" s="2">
        <v>0</v>
      </c>
      <c r="N12" s="33"/>
      <c r="O12" s="2">
        <f t="shared" si="0"/>
        <v>106</v>
      </c>
    </row>
    <row r="13" spans="1:15" ht="15.75" thickBot="1" x14ac:dyDescent="0.3">
      <c r="A13" s="1"/>
      <c r="B13" s="1"/>
      <c r="C13" s="1"/>
      <c r="D13" s="1"/>
      <c r="E13" s="1"/>
      <c r="F13" s="1" t="s">
        <v>60</v>
      </c>
      <c r="G13" s="4">
        <v>0</v>
      </c>
      <c r="H13" s="33"/>
      <c r="I13" s="4">
        <v>97600</v>
      </c>
      <c r="J13" s="33"/>
      <c r="K13" s="4">
        <v>48400</v>
      </c>
      <c r="L13" s="33"/>
      <c r="M13" s="4">
        <v>0</v>
      </c>
      <c r="N13" s="33"/>
      <c r="O13" s="4">
        <f t="shared" si="0"/>
        <v>146000</v>
      </c>
    </row>
    <row r="14" spans="1:15" ht="15.75" thickBot="1" x14ac:dyDescent="0.3">
      <c r="A14" s="1"/>
      <c r="B14" s="1"/>
      <c r="C14" s="1"/>
      <c r="D14" s="1"/>
      <c r="E14" s="1" t="s">
        <v>61</v>
      </c>
      <c r="F14" s="1"/>
      <c r="G14" s="6">
        <f>ROUND(SUM(G10:G13),5)</f>
        <v>-5846.96</v>
      </c>
      <c r="H14" s="33"/>
      <c r="I14" s="6">
        <f>ROUND(SUM(I10:I13),5)</f>
        <v>101402.87</v>
      </c>
      <c r="J14" s="33"/>
      <c r="K14" s="6">
        <f>ROUND(SUM(K10:K13),5)</f>
        <v>48400</v>
      </c>
      <c r="L14" s="33"/>
      <c r="M14" s="6">
        <f>ROUND(SUM(M10:M13),5)</f>
        <v>0</v>
      </c>
      <c r="N14" s="33"/>
      <c r="O14" s="6">
        <f t="shared" si="0"/>
        <v>143955.91</v>
      </c>
    </row>
    <row r="15" spans="1:15" ht="30" customHeight="1" thickBot="1" x14ac:dyDescent="0.3">
      <c r="A15" s="1"/>
      <c r="B15" s="1"/>
      <c r="C15" s="1"/>
      <c r="D15" s="1" t="s">
        <v>62</v>
      </c>
      <c r="E15" s="1"/>
      <c r="F15" s="1"/>
      <c r="G15" s="5">
        <f>ROUND(G8+G14+G9,5)</f>
        <v>-5543.03</v>
      </c>
      <c r="H15" s="33"/>
      <c r="I15" s="5">
        <f>ROUND(I8+I14+I9,5)</f>
        <v>101402.87</v>
      </c>
      <c r="J15" s="33"/>
      <c r="K15" s="5">
        <f>ROUND(K8+K14+K9,5)</f>
        <v>48400</v>
      </c>
      <c r="L15" s="33"/>
      <c r="M15" s="5">
        <f>ROUND(M8+M14+M9,5)</f>
        <v>0</v>
      </c>
      <c r="N15" s="33"/>
      <c r="O15" s="5">
        <f t="shared" si="0"/>
        <v>144259.84</v>
      </c>
    </row>
    <row r="16" spans="1:15" ht="30" customHeight="1" x14ac:dyDescent="0.25">
      <c r="A16" s="1"/>
      <c r="B16" s="1"/>
      <c r="C16" s="1" t="s">
        <v>63</v>
      </c>
      <c r="D16" s="1"/>
      <c r="E16" s="1"/>
      <c r="F16" s="1"/>
      <c r="G16" s="2">
        <f>ROUND(G3+G7+G15,5)</f>
        <v>-5419.9</v>
      </c>
      <c r="H16" s="33"/>
      <c r="I16" s="2">
        <f>ROUND(I3+I7+I15,5)</f>
        <v>101402.87</v>
      </c>
      <c r="J16" s="33"/>
      <c r="K16" s="2">
        <f>ROUND(K3+K7+K15,5)</f>
        <v>48400</v>
      </c>
      <c r="L16" s="33"/>
      <c r="M16" s="2">
        <f>ROUND(M3+M7+M15,5)</f>
        <v>1.53</v>
      </c>
      <c r="N16" s="33"/>
      <c r="O16" s="2">
        <f t="shared" si="0"/>
        <v>144384.5</v>
      </c>
    </row>
    <row r="17" spans="1:15" ht="30" customHeight="1" x14ac:dyDescent="0.25">
      <c r="A17" s="1"/>
      <c r="B17" s="1"/>
      <c r="C17" s="1" t="s">
        <v>64</v>
      </c>
      <c r="D17" s="1"/>
      <c r="E17" s="1"/>
      <c r="F17" s="1"/>
      <c r="G17" s="2"/>
      <c r="H17" s="33"/>
      <c r="I17" s="2"/>
      <c r="J17" s="33"/>
      <c r="K17" s="2"/>
      <c r="L17" s="33"/>
      <c r="M17" s="2"/>
      <c r="N17" s="33"/>
      <c r="O17" s="2"/>
    </row>
    <row r="18" spans="1:15" x14ac:dyDescent="0.25">
      <c r="A18" s="1"/>
      <c r="B18" s="1"/>
      <c r="C18" s="1"/>
      <c r="D18" s="1" t="s">
        <v>94</v>
      </c>
      <c r="E18" s="1"/>
      <c r="F18" s="1"/>
      <c r="G18" s="2"/>
      <c r="H18" s="33"/>
      <c r="I18" s="2"/>
      <c r="J18" s="33"/>
      <c r="K18" s="2"/>
      <c r="L18" s="33"/>
      <c r="M18" s="2"/>
      <c r="N18" s="33"/>
      <c r="O18" s="2"/>
    </row>
    <row r="19" spans="1:15" ht="15.75" thickBot="1" x14ac:dyDescent="0.3">
      <c r="A19" s="1"/>
      <c r="B19" s="1"/>
      <c r="C19" s="1"/>
      <c r="D19" s="1"/>
      <c r="E19" s="1" t="s">
        <v>95</v>
      </c>
      <c r="F19" s="1"/>
      <c r="G19" s="3">
        <v>31.75</v>
      </c>
      <c r="H19" s="33"/>
      <c r="I19" s="3">
        <v>0</v>
      </c>
      <c r="J19" s="33"/>
      <c r="K19" s="3">
        <v>0</v>
      </c>
      <c r="L19" s="33"/>
      <c r="M19" s="3">
        <v>0</v>
      </c>
      <c r="N19" s="33"/>
      <c r="O19" s="3">
        <f>ROUND(SUM(G19:M19),5)</f>
        <v>31.75</v>
      </c>
    </row>
    <row r="20" spans="1:15" x14ac:dyDescent="0.25">
      <c r="A20" s="1"/>
      <c r="B20" s="1"/>
      <c r="C20" s="1"/>
      <c r="D20" s="1" t="s">
        <v>96</v>
      </c>
      <c r="E20" s="1"/>
      <c r="F20" s="1"/>
      <c r="G20" s="2">
        <f>ROUND(SUM(G18:G19),5)</f>
        <v>31.75</v>
      </c>
      <c r="H20" s="33"/>
      <c r="I20" s="2">
        <f>ROUND(SUM(I18:I19),5)</f>
        <v>0</v>
      </c>
      <c r="J20" s="33"/>
      <c r="K20" s="2">
        <f>ROUND(SUM(K18:K19),5)</f>
        <v>0</v>
      </c>
      <c r="L20" s="33"/>
      <c r="M20" s="2">
        <f>ROUND(SUM(M18:M19),5)</f>
        <v>0</v>
      </c>
      <c r="N20" s="33"/>
      <c r="O20" s="2">
        <f>ROUND(SUM(G20:M20),5)</f>
        <v>31.75</v>
      </c>
    </row>
    <row r="21" spans="1:15" ht="30" customHeight="1" x14ac:dyDescent="0.25">
      <c r="A21" s="1"/>
      <c r="B21" s="1"/>
      <c r="C21" s="1"/>
      <c r="D21" s="1" t="s">
        <v>97</v>
      </c>
      <c r="E21" s="1"/>
      <c r="F21" s="1"/>
      <c r="G21" s="2"/>
      <c r="H21" s="33"/>
      <c r="I21" s="2"/>
      <c r="J21" s="33"/>
      <c r="K21" s="2"/>
      <c r="L21" s="33"/>
      <c r="M21" s="2"/>
      <c r="N21" s="33"/>
      <c r="O21" s="2"/>
    </row>
    <row r="22" spans="1:15" ht="15.75" thickBot="1" x14ac:dyDescent="0.3">
      <c r="A22" s="1"/>
      <c r="B22" s="1"/>
      <c r="C22" s="1"/>
      <c r="D22" s="1"/>
      <c r="E22" s="1" t="s">
        <v>98</v>
      </c>
      <c r="F22" s="1"/>
      <c r="G22" s="3">
        <v>73.48</v>
      </c>
      <c r="H22" s="33"/>
      <c r="I22" s="3">
        <v>0</v>
      </c>
      <c r="J22" s="33"/>
      <c r="K22" s="3">
        <v>0</v>
      </c>
      <c r="L22" s="33"/>
      <c r="M22" s="3">
        <v>0</v>
      </c>
      <c r="N22" s="33"/>
      <c r="O22" s="3">
        <f>ROUND(SUM(G22:M22),5)</f>
        <v>73.48</v>
      </c>
    </row>
    <row r="23" spans="1:15" x14ac:dyDescent="0.25">
      <c r="A23" s="1"/>
      <c r="B23" s="1"/>
      <c r="C23" s="1"/>
      <c r="D23" s="1" t="s">
        <v>99</v>
      </c>
      <c r="E23" s="1"/>
      <c r="F23" s="1"/>
      <c r="G23" s="2">
        <f>ROUND(SUM(G21:G22),5)</f>
        <v>73.48</v>
      </c>
      <c r="H23" s="33"/>
      <c r="I23" s="2">
        <f>ROUND(SUM(I21:I22),5)</f>
        <v>0</v>
      </c>
      <c r="J23" s="33"/>
      <c r="K23" s="2">
        <f>ROUND(SUM(K21:K22),5)</f>
        <v>0</v>
      </c>
      <c r="L23" s="33"/>
      <c r="M23" s="2">
        <f>ROUND(SUM(M21:M22),5)</f>
        <v>0</v>
      </c>
      <c r="N23" s="33"/>
      <c r="O23" s="2">
        <f>ROUND(SUM(G23:M23),5)</f>
        <v>73.48</v>
      </c>
    </row>
    <row r="24" spans="1:15" ht="30" customHeight="1" x14ac:dyDescent="0.25">
      <c r="A24" s="1"/>
      <c r="B24" s="1"/>
      <c r="C24" s="1"/>
      <c r="D24" s="1" t="s">
        <v>68</v>
      </c>
      <c r="E24" s="1"/>
      <c r="F24" s="1"/>
      <c r="G24" s="2"/>
      <c r="H24" s="33"/>
      <c r="I24" s="2"/>
      <c r="J24" s="33"/>
      <c r="K24" s="2"/>
      <c r="L24" s="33"/>
      <c r="M24" s="2"/>
      <c r="N24" s="33"/>
      <c r="O24" s="2"/>
    </row>
    <row r="25" spans="1:15" x14ac:dyDescent="0.25">
      <c r="A25" s="1"/>
      <c r="B25" s="1"/>
      <c r="C25" s="1"/>
      <c r="D25" s="1"/>
      <c r="E25" s="1" t="s">
        <v>100</v>
      </c>
      <c r="F25" s="1"/>
      <c r="G25" s="2">
        <v>10</v>
      </c>
      <c r="H25" s="33"/>
      <c r="I25" s="2">
        <v>0</v>
      </c>
      <c r="J25" s="33"/>
      <c r="K25" s="2">
        <v>0</v>
      </c>
      <c r="L25" s="33"/>
      <c r="M25" s="2">
        <v>0</v>
      </c>
      <c r="N25" s="33"/>
      <c r="O25" s="2">
        <f>ROUND(SUM(G25:M25),5)</f>
        <v>10</v>
      </c>
    </row>
    <row r="26" spans="1:15" x14ac:dyDescent="0.25">
      <c r="A26" s="1"/>
      <c r="B26" s="1"/>
      <c r="C26" s="1"/>
      <c r="D26" s="1"/>
      <c r="E26" s="1" t="s">
        <v>69</v>
      </c>
      <c r="F26" s="1"/>
      <c r="G26" s="2">
        <v>126.45</v>
      </c>
      <c r="H26" s="33"/>
      <c r="I26" s="2">
        <v>0</v>
      </c>
      <c r="J26" s="33"/>
      <c r="K26" s="2">
        <v>0</v>
      </c>
      <c r="L26" s="33"/>
      <c r="M26" s="2">
        <v>0</v>
      </c>
      <c r="N26" s="33"/>
      <c r="O26" s="2">
        <f>ROUND(SUM(G26:M26),5)</f>
        <v>126.45</v>
      </c>
    </row>
    <row r="27" spans="1:15" x14ac:dyDescent="0.25">
      <c r="A27" s="1"/>
      <c r="B27" s="1"/>
      <c r="C27" s="1"/>
      <c r="D27" s="1"/>
      <c r="E27" s="1" t="s">
        <v>70</v>
      </c>
      <c r="F27" s="1"/>
      <c r="G27" s="2">
        <v>425</v>
      </c>
      <c r="H27" s="33"/>
      <c r="I27" s="2">
        <v>0</v>
      </c>
      <c r="J27" s="33"/>
      <c r="K27" s="2">
        <v>0</v>
      </c>
      <c r="L27" s="33"/>
      <c r="M27" s="2">
        <v>0</v>
      </c>
      <c r="N27" s="33"/>
      <c r="O27" s="2">
        <f>ROUND(SUM(G27:M27),5)</f>
        <v>425</v>
      </c>
    </row>
    <row r="28" spans="1:15" ht="15.75" thickBot="1" x14ac:dyDescent="0.3">
      <c r="A28" s="1"/>
      <c r="B28" s="1"/>
      <c r="C28" s="1"/>
      <c r="D28" s="1"/>
      <c r="E28" s="1" t="s">
        <v>101</v>
      </c>
      <c r="F28" s="1"/>
      <c r="G28" s="3">
        <v>548.04</v>
      </c>
      <c r="H28" s="33"/>
      <c r="I28" s="3">
        <v>0</v>
      </c>
      <c r="J28" s="33"/>
      <c r="K28" s="3">
        <v>0</v>
      </c>
      <c r="L28" s="33"/>
      <c r="M28" s="3">
        <v>0</v>
      </c>
      <c r="N28" s="33"/>
      <c r="O28" s="3">
        <f>ROUND(SUM(G28:M28),5)</f>
        <v>548.04</v>
      </c>
    </row>
    <row r="29" spans="1:15" x14ac:dyDescent="0.25">
      <c r="A29" s="1"/>
      <c r="B29" s="1"/>
      <c r="C29" s="1"/>
      <c r="D29" s="1" t="s">
        <v>71</v>
      </c>
      <c r="E29" s="1"/>
      <c r="F29" s="1"/>
      <c r="G29" s="2">
        <f>ROUND(G24+G26+G25+G28+G27,5)</f>
        <v>1109.49</v>
      </c>
      <c r="H29" s="33"/>
      <c r="I29" s="2">
        <f>ROUND(I24+I26+I25+I28+I27,5)</f>
        <v>0</v>
      </c>
      <c r="J29" s="33"/>
      <c r="K29" s="2">
        <f>ROUND(K24+K26+K25+K28+K27,5)</f>
        <v>0</v>
      </c>
      <c r="L29" s="33"/>
      <c r="M29" s="2">
        <f>ROUND(M24+M26+M25+M28+M27,5)</f>
        <v>0</v>
      </c>
      <c r="N29" s="33"/>
      <c r="O29" s="2">
        <f>ROUND(SUM(G29:M29),5)</f>
        <v>1109.49</v>
      </c>
    </row>
    <row r="30" spans="1:15" ht="30" customHeight="1" x14ac:dyDescent="0.25">
      <c r="A30" s="1"/>
      <c r="B30" s="1"/>
      <c r="C30" s="1"/>
      <c r="D30" s="1" t="s">
        <v>65</v>
      </c>
      <c r="E30" s="1"/>
      <c r="F30" s="1"/>
      <c r="G30" s="2"/>
      <c r="H30" s="33"/>
      <c r="I30" s="2"/>
      <c r="J30" s="33"/>
      <c r="K30" s="2"/>
      <c r="L30" s="33"/>
      <c r="M30" s="2"/>
      <c r="N30" s="33"/>
      <c r="O30" s="2"/>
    </row>
    <row r="31" spans="1:15" x14ac:dyDescent="0.25">
      <c r="A31" s="1"/>
      <c r="B31" s="1"/>
      <c r="C31" s="1"/>
      <c r="D31" s="1"/>
      <c r="E31" s="1" t="s">
        <v>66</v>
      </c>
      <c r="F31" s="1"/>
      <c r="G31" s="2">
        <v>800</v>
      </c>
      <c r="H31" s="33"/>
      <c r="I31" s="2">
        <v>0</v>
      </c>
      <c r="J31" s="33"/>
      <c r="K31" s="2">
        <v>0</v>
      </c>
      <c r="L31" s="33"/>
      <c r="M31" s="2">
        <v>0</v>
      </c>
      <c r="N31" s="33"/>
      <c r="O31" s="2">
        <f>ROUND(SUM(G31:M31),5)</f>
        <v>800</v>
      </c>
    </row>
    <row r="32" spans="1:15" ht="15.75" thickBot="1" x14ac:dyDescent="0.3">
      <c r="A32" s="1"/>
      <c r="B32" s="1"/>
      <c r="C32" s="1"/>
      <c r="D32" s="1"/>
      <c r="E32" s="1" t="s">
        <v>102</v>
      </c>
      <c r="F32" s="1"/>
      <c r="G32" s="3">
        <v>2600</v>
      </c>
      <c r="H32" s="33"/>
      <c r="I32" s="3">
        <v>0</v>
      </c>
      <c r="J32" s="33"/>
      <c r="K32" s="3">
        <v>0</v>
      </c>
      <c r="L32" s="33"/>
      <c r="M32" s="3">
        <v>0</v>
      </c>
      <c r="N32" s="33"/>
      <c r="O32" s="3">
        <f>ROUND(SUM(G32:M32),5)</f>
        <v>2600</v>
      </c>
    </row>
    <row r="33" spans="1:15" x14ac:dyDescent="0.25">
      <c r="A33" s="1"/>
      <c r="B33" s="1"/>
      <c r="C33" s="1"/>
      <c r="D33" s="1" t="s">
        <v>67</v>
      </c>
      <c r="E33" s="1"/>
      <c r="F33" s="1"/>
      <c r="G33" s="2">
        <f>ROUND(G30+G32+G31,5)</f>
        <v>3400</v>
      </c>
      <c r="H33" s="33"/>
      <c r="I33" s="2">
        <f>ROUND(I30+I32+I31,5)</f>
        <v>0</v>
      </c>
      <c r="J33" s="33"/>
      <c r="K33" s="2">
        <f>ROUND(K30+K32+K31,5)</f>
        <v>0</v>
      </c>
      <c r="L33" s="33"/>
      <c r="M33" s="2">
        <f>ROUND(M30+M32+M31,5)</f>
        <v>0</v>
      </c>
      <c r="N33" s="33"/>
      <c r="O33" s="2">
        <f>ROUND(SUM(G33:M33),5)</f>
        <v>3400</v>
      </c>
    </row>
    <row r="34" spans="1:15" ht="30" customHeight="1" x14ac:dyDescent="0.25">
      <c r="A34" s="1"/>
      <c r="B34" s="1"/>
      <c r="C34" s="1"/>
      <c r="D34" s="1" t="s">
        <v>72</v>
      </c>
      <c r="E34" s="1"/>
      <c r="F34" s="1"/>
      <c r="G34" s="2"/>
      <c r="H34" s="33"/>
      <c r="I34" s="2"/>
      <c r="J34" s="33"/>
      <c r="K34" s="2"/>
      <c r="L34" s="33"/>
      <c r="M34" s="2"/>
      <c r="N34" s="33"/>
      <c r="O34" s="2"/>
    </row>
    <row r="35" spans="1:15" x14ac:dyDescent="0.25">
      <c r="A35" s="1"/>
      <c r="B35" s="1"/>
      <c r="C35" s="1"/>
      <c r="D35" s="1"/>
      <c r="E35" s="1" t="s">
        <v>77</v>
      </c>
      <c r="F35" s="1"/>
      <c r="G35" s="2">
        <v>0</v>
      </c>
      <c r="H35" s="33"/>
      <c r="I35" s="2">
        <v>7.33</v>
      </c>
      <c r="J35" s="33"/>
      <c r="K35" s="2">
        <v>32.79</v>
      </c>
      <c r="L35" s="33"/>
      <c r="M35" s="2">
        <v>0</v>
      </c>
      <c r="N35" s="33"/>
      <c r="O35" s="2">
        <f t="shared" ref="O35:O47" si="1">ROUND(SUM(G35:M35),5)</f>
        <v>40.119999999999997</v>
      </c>
    </row>
    <row r="36" spans="1:15" x14ac:dyDescent="0.25">
      <c r="A36" s="1"/>
      <c r="B36" s="1"/>
      <c r="C36" s="1"/>
      <c r="D36" s="1"/>
      <c r="E36" s="1" t="s">
        <v>103</v>
      </c>
      <c r="F36" s="1"/>
      <c r="G36" s="2">
        <v>0</v>
      </c>
      <c r="H36" s="33"/>
      <c r="I36" s="2">
        <v>243.03</v>
      </c>
      <c r="J36" s="33"/>
      <c r="K36" s="2">
        <v>0</v>
      </c>
      <c r="L36" s="33"/>
      <c r="M36" s="2">
        <v>0</v>
      </c>
      <c r="N36" s="33"/>
      <c r="O36" s="2">
        <f t="shared" si="1"/>
        <v>243.03</v>
      </c>
    </row>
    <row r="37" spans="1:15" x14ac:dyDescent="0.25">
      <c r="A37" s="1"/>
      <c r="B37" s="1"/>
      <c r="C37" s="1"/>
      <c r="D37" s="1"/>
      <c r="E37" s="1" t="s">
        <v>0</v>
      </c>
      <c r="F37" s="1"/>
      <c r="G37" s="2">
        <v>0</v>
      </c>
      <c r="H37" s="33"/>
      <c r="I37" s="2">
        <v>400</v>
      </c>
      <c r="J37" s="33"/>
      <c r="K37" s="2">
        <v>24</v>
      </c>
      <c r="L37" s="33"/>
      <c r="M37" s="2">
        <v>0</v>
      </c>
      <c r="N37" s="33"/>
      <c r="O37" s="2">
        <f t="shared" si="1"/>
        <v>424</v>
      </c>
    </row>
    <row r="38" spans="1:15" x14ac:dyDescent="0.25">
      <c r="A38" s="1"/>
      <c r="B38" s="1"/>
      <c r="C38" s="1"/>
      <c r="D38" s="1"/>
      <c r="E38" s="1" t="s">
        <v>1</v>
      </c>
      <c r="F38" s="1"/>
      <c r="G38" s="2">
        <v>0</v>
      </c>
      <c r="H38" s="33"/>
      <c r="I38" s="2">
        <v>300.57</v>
      </c>
      <c r="J38" s="33"/>
      <c r="K38" s="2">
        <v>161.85</v>
      </c>
      <c r="L38" s="33"/>
      <c r="M38" s="2">
        <v>0</v>
      </c>
      <c r="N38" s="33"/>
      <c r="O38" s="2">
        <f t="shared" si="1"/>
        <v>462.42</v>
      </c>
    </row>
    <row r="39" spans="1:15" x14ac:dyDescent="0.25">
      <c r="A39" s="1"/>
      <c r="B39" s="1"/>
      <c r="C39" s="1"/>
      <c r="D39" s="1"/>
      <c r="E39" s="1" t="s">
        <v>79</v>
      </c>
      <c r="F39" s="1"/>
      <c r="G39" s="2">
        <v>0</v>
      </c>
      <c r="H39" s="33"/>
      <c r="I39" s="2">
        <v>517.74</v>
      </c>
      <c r="J39" s="33"/>
      <c r="K39" s="2">
        <v>0</v>
      </c>
      <c r="L39" s="33"/>
      <c r="M39" s="2">
        <v>0</v>
      </c>
      <c r="N39" s="33"/>
      <c r="O39" s="2">
        <f t="shared" si="1"/>
        <v>517.74</v>
      </c>
    </row>
    <row r="40" spans="1:15" x14ac:dyDescent="0.25">
      <c r="A40" s="1"/>
      <c r="B40" s="1"/>
      <c r="C40" s="1"/>
      <c r="D40" s="1"/>
      <c r="E40" s="1" t="s">
        <v>2</v>
      </c>
      <c r="F40" s="1"/>
      <c r="G40" s="2">
        <v>0</v>
      </c>
      <c r="H40" s="33"/>
      <c r="I40" s="2">
        <v>534.83000000000004</v>
      </c>
      <c r="J40" s="33"/>
      <c r="K40" s="2">
        <v>0</v>
      </c>
      <c r="L40" s="33"/>
      <c r="M40" s="2">
        <v>0</v>
      </c>
      <c r="N40" s="33"/>
      <c r="O40" s="2">
        <f t="shared" si="1"/>
        <v>534.83000000000004</v>
      </c>
    </row>
    <row r="41" spans="1:15" x14ac:dyDescent="0.25">
      <c r="A41" s="1"/>
      <c r="B41" s="1"/>
      <c r="C41" s="1"/>
      <c r="D41" s="1"/>
      <c r="E41" s="1" t="s">
        <v>78</v>
      </c>
      <c r="F41" s="1"/>
      <c r="G41" s="2">
        <v>0</v>
      </c>
      <c r="H41" s="33"/>
      <c r="I41" s="2">
        <v>332.34</v>
      </c>
      <c r="J41" s="33"/>
      <c r="K41" s="2">
        <v>225.5</v>
      </c>
      <c r="L41" s="33"/>
      <c r="M41" s="2">
        <v>0</v>
      </c>
      <c r="N41" s="33"/>
      <c r="O41" s="2">
        <f t="shared" si="1"/>
        <v>557.84</v>
      </c>
    </row>
    <row r="42" spans="1:15" x14ac:dyDescent="0.25">
      <c r="A42" s="1"/>
      <c r="B42" s="1"/>
      <c r="C42" s="1"/>
      <c r="D42" s="1"/>
      <c r="E42" s="1" t="s">
        <v>76</v>
      </c>
      <c r="F42" s="1"/>
      <c r="G42" s="2">
        <v>654.41</v>
      </c>
      <c r="H42" s="33"/>
      <c r="I42" s="2">
        <v>114.8</v>
      </c>
      <c r="J42" s="33"/>
      <c r="K42" s="2">
        <v>0</v>
      </c>
      <c r="L42" s="33"/>
      <c r="M42" s="2">
        <v>0</v>
      </c>
      <c r="N42" s="33"/>
      <c r="O42" s="2">
        <f t="shared" si="1"/>
        <v>769.21</v>
      </c>
    </row>
    <row r="43" spans="1:15" x14ac:dyDescent="0.25">
      <c r="A43" s="1"/>
      <c r="B43" s="1"/>
      <c r="C43" s="1"/>
      <c r="D43" s="1"/>
      <c r="E43" s="1" t="s">
        <v>3</v>
      </c>
      <c r="F43" s="1"/>
      <c r="G43" s="2">
        <v>0</v>
      </c>
      <c r="H43" s="33"/>
      <c r="I43" s="2">
        <v>989.9</v>
      </c>
      <c r="J43" s="33"/>
      <c r="K43" s="2">
        <v>0</v>
      </c>
      <c r="L43" s="33"/>
      <c r="M43" s="2">
        <v>0</v>
      </c>
      <c r="N43" s="33"/>
      <c r="O43" s="2">
        <f t="shared" si="1"/>
        <v>989.9</v>
      </c>
    </row>
    <row r="44" spans="1:15" x14ac:dyDescent="0.25">
      <c r="A44" s="1"/>
      <c r="B44" s="1"/>
      <c r="C44" s="1"/>
      <c r="D44" s="1"/>
      <c r="E44" s="1" t="s">
        <v>4</v>
      </c>
      <c r="F44" s="1"/>
      <c r="G44" s="2">
        <v>0</v>
      </c>
      <c r="H44" s="33"/>
      <c r="I44" s="2">
        <v>0</v>
      </c>
      <c r="J44" s="33"/>
      <c r="K44" s="2">
        <v>1870</v>
      </c>
      <c r="L44" s="33"/>
      <c r="M44" s="2">
        <v>0</v>
      </c>
      <c r="N44" s="33"/>
      <c r="O44" s="2">
        <f t="shared" si="1"/>
        <v>1870</v>
      </c>
    </row>
    <row r="45" spans="1:15" x14ac:dyDescent="0.25">
      <c r="A45" s="1"/>
      <c r="B45" s="1"/>
      <c r="C45" s="1"/>
      <c r="D45" s="1"/>
      <c r="E45" s="1" t="s">
        <v>83</v>
      </c>
      <c r="F45" s="1"/>
      <c r="G45" s="2">
        <v>0</v>
      </c>
      <c r="H45" s="33"/>
      <c r="I45" s="2">
        <v>1254.7</v>
      </c>
      <c r="J45" s="33"/>
      <c r="K45" s="2">
        <v>1674.19</v>
      </c>
      <c r="L45" s="33"/>
      <c r="M45" s="2">
        <v>0</v>
      </c>
      <c r="N45" s="33"/>
      <c r="O45" s="2">
        <f t="shared" si="1"/>
        <v>2928.89</v>
      </c>
    </row>
    <row r="46" spans="1:15" x14ac:dyDescent="0.25">
      <c r="A46" s="1"/>
      <c r="B46" s="1"/>
      <c r="C46" s="1"/>
      <c r="D46" s="1"/>
      <c r="E46" s="1" t="s">
        <v>80</v>
      </c>
      <c r="F46" s="1"/>
      <c r="G46" s="2">
        <v>0</v>
      </c>
      <c r="H46" s="33"/>
      <c r="I46" s="2">
        <v>4457.1000000000004</v>
      </c>
      <c r="J46" s="33"/>
      <c r="K46" s="2">
        <v>1092.7</v>
      </c>
      <c r="L46" s="33"/>
      <c r="M46" s="2">
        <v>0</v>
      </c>
      <c r="N46" s="33"/>
      <c r="O46" s="2">
        <f t="shared" si="1"/>
        <v>5549.8</v>
      </c>
    </row>
    <row r="47" spans="1:15" x14ac:dyDescent="0.25">
      <c r="A47" s="1"/>
      <c r="B47" s="1"/>
      <c r="C47" s="1"/>
      <c r="D47" s="1"/>
      <c r="E47" s="1" t="s">
        <v>82</v>
      </c>
      <c r="F47" s="1"/>
      <c r="G47" s="2">
        <v>0</v>
      </c>
      <c r="H47" s="33"/>
      <c r="I47" s="2">
        <v>4032.85</v>
      </c>
      <c r="J47" s="33"/>
      <c r="K47" s="2">
        <v>1681.93</v>
      </c>
      <c r="L47" s="33"/>
      <c r="M47" s="2">
        <v>0</v>
      </c>
      <c r="N47" s="33"/>
      <c r="O47" s="2">
        <f t="shared" si="1"/>
        <v>5714.78</v>
      </c>
    </row>
    <row r="48" spans="1:15" x14ac:dyDescent="0.25">
      <c r="A48" s="1"/>
      <c r="B48" s="1"/>
      <c r="C48" s="1"/>
      <c r="D48" s="1"/>
      <c r="E48" s="1" t="s">
        <v>73</v>
      </c>
      <c r="F48" s="1"/>
      <c r="G48" s="2"/>
      <c r="H48" s="33"/>
      <c r="I48" s="2"/>
      <c r="J48" s="33"/>
      <c r="K48" s="2"/>
      <c r="L48" s="33"/>
      <c r="M48" s="2"/>
      <c r="N48" s="33"/>
      <c r="O48" s="2"/>
    </row>
    <row r="49" spans="1:15" x14ac:dyDescent="0.25">
      <c r="A49" s="1"/>
      <c r="B49" s="1"/>
      <c r="C49" s="1"/>
      <c r="D49" s="1"/>
      <c r="E49" s="1"/>
      <c r="F49" s="1" t="s">
        <v>74</v>
      </c>
      <c r="G49" s="2">
        <v>225</v>
      </c>
      <c r="H49" s="33"/>
      <c r="I49" s="2">
        <v>0</v>
      </c>
      <c r="J49" s="33"/>
      <c r="K49" s="2">
        <v>0</v>
      </c>
      <c r="L49" s="33"/>
      <c r="M49" s="2">
        <v>0</v>
      </c>
      <c r="N49" s="33"/>
      <c r="O49" s="2">
        <f t="shared" ref="O49:O57" si="2">ROUND(SUM(G49:M49),5)</f>
        <v>225</v>
      </c>
    </row>
    <row r="50" spans="1:15" ht="15.75" thickBot="1" x14ac:dyDescent="0.3">
      <c r="A50" s="1"/>
      <c r="B50" s="1"/>
      <c r="C50" s="1"/>
      <c r="D50" s="1"/>
      <c r="E50" s="1"/>
      <c r="F50" s="1" t="s">
        <v>5</v>
      </c>
      <c r="G50" s="3">
        <v>6085.29</v>
      </c>
      <c r="H50" s="33"/>
      <c r="I50" s="3">
        <v>0</v>
      </c>
      <c r="J50" s="33"/>
      <c r="K50" s="3">
        <v>0</v>
      </c>
      <c r="L50" s="33"/>
      <c r="M50" s="3">
        <v>0</v>
      </c>
      <c r="N50" s="33"/>
      <c r="O50" s="3">
        <f t="shared" si="2"/>
        <v>6085.29</v>
      </c>
    </row>
    <row r="51" spans="1:15" x14ac:dyDescent="0.25">
      <c r="A51" s="1"/>
      <c r="B51" s="1"/>
      <c r="C51" s="1"/>
      <c r="D51" s="1"/>
      <c r="E51" s="1" t="s">
        <v>75</v>
      </c>
      <c r="F51" s="1"/>
      <c r="G51" s="2">
        <f>ROUND(SUM(G48:G50),5)</f>
        <v>6310.29</v>
      </c>
      <c r="H51" s="33"/>
      <c r="I51" s="2">
        <f>ROUND(SUM(I48:I50),5)</f>
        <v>0</v>
      </c>
      <c r="J51" s="33"/>
      <c r="K51" s="2">
        <f>ROUND(SUM(K48:K50),5)</f>
        <v>0</v>
      </c>
      <c r="L51" s="33"/>
      <c r="M51" s="2">
        <f>ROUND(SUM(M48:M50),5)</f>
        <v>0</v>
      </c>
      <c r="N51" s="33"/>
      <c r="O51" s="2">
        <f t="shared" si="2"/>
        <v>6310.29</v>
      </c>
    </row>
    <row r="52" spans="1:15" ht="30" customHeight="1" x14ac:dyDescent="0.25">
      <c r="A52" s="1"/>
      <c r="B52" s="1"/>
      <c r="C52" s="1"/>
      <c r="D52" s="1"/>
      <c r="E52" s="1" t="s">
        <v>84</v>
      </c>
      <c r="F52" s="1"/>
      <c r="G52" s="2">
        <v>132.52000000000001</v>
      </c>
      <c r="H52" s="33"/>
      <c r="I52" s="2">
        <v>7182.05</v>
      </c>
      <c r="J52" s="33"/>
      <c r="K52" s="2">
        <v>3561.23</v>
      </c>
      <c r="L52" s="33"/>
      <c r="M52" s="2">
        <v>0</v>
      </c>
      <c r="N52" s="33"/>
      <c r="O52" s="2">
        <f t="shared" si="2"/>
        <v>10875.8</v>
      </c>
    </row>
    <row r="53" spans="1:15" ht="15.75" thickBot="1" x14ac:dyDescent="0.3">
      <c r="A53" s="1"/>
      <c r="B53" s="1"/>
      <c r="C53" s="1"/>
      <c r="D53" s="1"/>
      <c r="E53" s="1" t="s">
        <v>85</v>
      </c>
      <c r="F53" s="1"/>
      <c r="G53" s="4">
        <v>0</v>
      </c>
      <c r="H53" s="33"/>
      <c r="I53" s="4">
        <v>70024.55</v>
      </c>
      <c r="J53" s="33"/>
      <c r="K53" s="4">
        <v>44223.16</v>
      </c>
      <c r="L53" s="33"/>
      <c r="M53" s="4">
        <v>0</v>
      </c>
      <c r="N53" s="33"/>
      <c r="O53" s="4">
        <f t="shared" si="2"/>
        <v>114247.71</v>
      </c>
    </row>
    <row r="54" spans="1:15" ht="15.75" thickBot="1" x14ac:dyDescent="0.3">
      <c r="A54" s="1"/>
      <c r="B54" s="1"/>
      <c r="C54" s="1"/>
      <c r="D54" s="1" t="s">
        <v>86</v>
      </c>
      <c r="E54" s="1"/>
      <c r="F54" s="1"/>
      <c r="G54" s="6">
        <f>ROUND(G34+G53+G45+G44+G37+G40+G47+G41+G39+G38+G35+G46+G51+G36+G43+G42+G52,5)</f>
        <v>7097.22</v>
      </c>
      <c r="H54" s="33"/>
      <c r="I54" s="6">
        <f>ROUND(I34+I53+I45+I44+I37+I40+I47+I41+I39+I38+I35+I46+I51+I36+I43+I42+I52,5)</f>
        <v>90391.79</v>
      </c>
      <c r="J54" s="33"/>
      <c r="K54" s="6">
        <f>ROUND(K34+K53+K45+K44+K37+K40+K47+K41+K39+K38+K35+K46+K51+K36+K43+K42+K52,5)</f>
        <v>54547.35</v>
      </c>
      <c r="L54" s="33"/>
      <c r="M54" s="6">
        <f>ROUND(M34+M53+M45+M44+M37+M40+M47+M41+M39+M38+M35+M46+M51+M36+M43+M42+M52,5)</f>
        <v>0</v>
      </c>
      <c r="N54" s="33"/>
      <c r="O54" s="6">
        <f t="shared" si="2"/>
        <v>152036.35999999999</v>
      </c>
    </row>
    <row r="55" spans="1:15" ht="30" customHeight="1" thickBot="1" x14ac:dyDescent="0.3">
      <c r="A55" s="1"/>
      <c r="B55" s="1"/>
      <c r="C55" s="1" t="s">
        <v>87</v>
      </c>
      <c r="D55" s="1"/>
      <c r="E55" s="1"/>
      <c r="F55" s="1"/>
      <c r="G55" s="6">
        <f>ROUND(G17+G29+G33+G20+G54+G23,5)</f>
        <v>11711.94</v>
      </c>
      <c r="H55" s="33"/>
      <c r="I55" s="6">
        <f>ROUND(I17+I29+I33+I20+I54+I23,5)</f>
        <v>90391.79</v>
      </c>
      <c r="J55" s="33"/>
      <c r="K55" s="6">
        <f>ROUND(K17+K29+K33+K20+K54+K23,5)</f>
        <v>54547.35</v>
      </c>
      <c r="L55" s="33"/>
      <c r="M55" s="6">
        <f>ROUND(M17+M29+M33+M20+M54+M23,5)</f>
        <v>0</v>
      </c>
      <c r="N55" s="33"/>
      <c r="O55" s="6">
        <f t="shared" si="2"/>
        <v>156651.07999999999</v>
      </c>
    </row>
    <row r="56" spans="1:15" ht="30" customHeight="1" thickBot="1" x14ac:dyDescent="0.3">
      <c r="A56" s="1"/>
      <c r="B56" s="1" t="s">
        <v>88</v>
      </c>
      <c r="C56" s="1"/>
      <c r="D56" s="1"/>
      <c r="E56" s="1"/>
      <c r="F56" s="1"/>
      <c r="G56" s="6">
        <f>ROUND(G2+G16-G55,5)</f>
        <v>-17131.84</v>
      </c>
      <c r="H56" s="33"/>
      <c r="I56" s="6">
        <f>ROUND(I2+I16-I55,5)</f>
        <v>11011.08</v>
      </c>
      <c r="J56" s="33"/>
      <c r="K56" s="6">
        <f>ROUND(K2+K16-K55,5)</f>
        <v>-6147.35</v>
      </c>
      <c r="L56" s="33"/>
      <c r="M56" s="6">
        <f>ROUND(M2+M16-M55,5)</f>
        <v>1.53</v>
      </c>
      <c r="N56" s="33"/>
      <c r="O56" s="6">
        <f t="shared" si="2"/>
        <v>-12266.58</v>
      </c>
    </row>
    <row r="57" spans="1:15" s="8" customFormat="1" ht="30" customHeight="1" thickBot="1" x14ac:dyDescent="0.25">
      <c r="A57" s="1" t="s">
        <v>105</v>
      </c>
      <c r="B57" s="1"/>
      <c r="C57" s="1"/>
      <c r="D57" s="1"/>
      <c r="E57" s="1"/>
      <c r="F57" s="1"/>
      <c r="G57" s="7">
        <f>G56</f>
        <v>-17131.84</v>
      </c>
      <c r="H57" s="1"/>
      <c r="I57" s="7">
        <f>I56</f>
        <v>11011.08</v>
      </c>
      <c r="J57" s="1"/>
      <c r="K57" s="7">
        <f>K56</f>
        <v>-6147.35</v>
      </c>
      <c r="L57" s="1"/>
      <c r="M57" s="7">
        <f>M56</f>
        <v>1.53</v>
      </c>
      <c r="N57" s="1"/>
      <c r="O57" s="7">
        <f t="shared" si="2"/>
        <v>-12266.58</v>
      </c>
    </row>
    <row r="58" spans="1:15" ht="15.75" thickTop="1" x14ac:dyDescent="0.25"/>
    <row r="59" spans="1:15" ht="15.75" thickBot="1" x14ac:dyDescent="0.3"/>
    <row r="60" spans="1:15" ht="45" x14ac:dyDescent="0.25">
      <c r="F60" s="15"/>
      <c r="G60" s="52" t="s">
        <v>157</v>
      </c>
      <c r="H60" s="16"/>
      <c r="I60" s="16"/>
      <c r="K60" s="45" t="s">
        <v>12</v>
      </c>
    </row>
    <row r="61" spans="1:15" x14ac:dyDescent="0.25">
      <c r="F61" s="20"/>
      <c r="G61" s="41" t="s">
        <v>10</v>
      </c>
      <c r="I61" s="42" t="s">
        <v>11</v>
      </c>
      <c r="K61" s="46"/>
    </row>
    <row r="62" spans="1:15" x14ac:dyDescent="0.25">
      <c r="F62" s="18" t="s">
        <v>158</v>
      </c>
      <c r="G62" s="28">
        <f>54547.35/120</f>
        <v>454.56124999999997</v>
      </c>
      <c r="I62" s="28">
        <f>90391.79/240</f>
        <v>376.63245833333332</v>
      </c>
      <c r="K62" s="47">
        <f>((I62*2)+G62)/3</f>
        <v>402.60872222222224</v>
      </c>
    </row>
    <row r="63" spans="1:15" x14ac:dyDescent="0.25">
      <c r="F63" s="27" t="s">
        <v>159</v>
      </c>
      <c r="G63" s="44">
        <f>17131.84/360</f>
        <v>47.588444444444448</v>
      </c>
      <c r="I63" s="44">
        <f>17131.84/360</f>
        <v>47.588444444444448</v>
      </c>
      <c r="K63" s="48">
        <f>I63</f>
        <v>47.588444444444448</v>
      </c>
    </row>
    <row r="64" spans="1:15" ht="16.5" x14ac:dyDescent="0.35">
      <c r="F64" s="20"/>
      <c r="G64" s="29">
        <f>SUM(G62:G63)</f>
        <v>502.14969444444444</v>
      </c>
      <c r="I64" s="29">
        <f>SUM(I62:I63)</f>
        <v>424.22090277777778</v>
      </c>
      <c r="K64" s="49">
        <f>SUM(K62:K63)</f>
        <v>450.1971666666667</v>
      </c>
    </row>
    <row r="65" spans="6:10" ht="15.75" thickBot="1" x14ac:dyDescent="0.3">
      <c r="F65" s="23"/>
      <c r="G65" s="24"/>
      <c r="H65" s="24"/>
      <c r="I65" s="24"/>
      <c r="J65" s="50"/>
    </row>
  </sheetData>
  <phoneticPr fontId="9" type="noConversion"/>
  <pageMargins left="0.7" right="0.7" top="0.75" bottom="0.75" header="0.25" footer="0.3"/>
  <headerFooter>
    <oddHeader>&amp;L&amp;"Arial,Bold"&amp;8 8:53 PM
&amp;"Arial,Bold"&amp;8 08/12/11
&amp;"Arial,Bold"&amp;8 Accrual Basis&amp;C&amp;"Arial,Bold"&amp;12 Rocky Mountain RYLA
&amp;"Arial,Bold"&amp;14 Profit &amp;&amp; Loss by Class
&amp;"Arial,Bold"&amp;10 July 2010 through June 2011</oddHeader>
    <oddFooter>&amp;R&amp;"Arial,Bold"&amp;8 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xSplit="6" ySplit="1" topLeftCell="G29" activePane="bottomRight" state="frozenSplit"/>
      <selection pane="topRight" activeCell="G1" sqref="G1"/>
      <selection pane="bottomLeft" activeCell="A2" sqref="A2"/>
      <selection pane="bottomRight" activeCell="F47" sqref="F47:J52"/>
    </sheetView>
  </sheetViews>
  <sheetFormatPr defaultColWidth="8.85546875" defaultRowHeight="15" x14ac:dyDescent="0.25"/>
  <cols>
    <col min="1" max="5" width="3" style="12" customWidth="1"/>
    <col min="6" max="6" width="30.7109375" style="12" customWidth="1"/>
    <col min="7" max="7" width="7.42578125" style="13" bestFit="1" customWidth="1"/>
    <col min="8" max="8" width="2.28515625" style="13" customWidth="1"/>
    <col min="9" max="9" width="11" style="13" customWidth="1"/>
    <col min="10" max="10" width="2.28515625" style="13" customWidth="1"/>
    <col min="11" max="11" width="12" style="13" customWidth="1"/>
    <col min="12" max="12" width="2.28515625" style="13" customWidth="1"/>
    <col min="13" max="13" width="7.7109375" style="13" customWidth="1"/>
    <col min="14" max="14" width="2.28515625" style="13" customWidth="1"/>
    <col min="15" max="15" width="8.7109375" style="13" bestFit="1" customWidth="1"/>
  </cols>
  <sheetData>
    <row r="1" spans="1:15" s="11" customFormat="1" ht="24" thickBot="1" x14ac:dyDescent="0.3">
      <c r="A1" s="9"/>
      <c r="B1" s="9"/>
      <c r="C1" s="9"/>
      <c r="D1" s="9"/>
      <c r="E1" s="9"/>
      <c r="F1" s="9"/>
      <c r="G1" s="34" t="s">
        <v>43</v>
      </c>
      <c r="H1" s="35"/>
      <c r="I1" s="34" t="s">
        <v>44</v>
      </c>
      <c r="J1" s="35"/>
      <c r="K1" s="34" t="s">
        <v>45</v>
      </c>
      <c r="L1" s="35"/>
      <c r="M1" s="34" t="s">
        <v>46</v>
      </c>
      <c r="N1" s="35"/>
      <c r="O1" s="34" t="s">
        <v>47</v>
      </c>
    </row>
    <row r="2" spans="1:15" ht="15.75" thickTop="1" x14ac:dyDescent="0.25">
      <c r="A2" s="1"/>
      <c r="B2" s="1" t="s">
        <v>48</v>
      </c>
      <c r="C2" s="1"/>
      <c r="D2" s="1"/>
      <c r="E2" s="1"/>
      <c r="F2" s="1"/>
      <c r="G2" s="2"/>
      <c r="H2" s="33"/>
      <c r="I2" s="2"/>
      <c r="J2" s="33"/>
      <c r="K2" s="2"/>
      <c r="L2" s="33"/>
      <c r="M2" s="2"/>
      <c r="N2" s="33"/>
      <c r="O2" s="2"/>
    </row>
    <row r="3" spans="1:15" x14ac:dyDescent="0.25">
      <c r="A3" s="1"/>
      <c r="B3" s="1"/>
      <c r="C3" s="1" t="s">
        <v>49</v>
      </c>
      <c r="D3" s="1"/>
      <c r="E3" s="1"/>
      <c r="F3" s="1"/>
      <c r="G3" s="2"/>
      <c r="H3" s="33"/>
      <c r="I3" s="2"/>
      <c r="J3" s="33"/>
      <c r="K3" s="2"/>
      <c r="L3" s="33"/>
      <c r="M3" s="2"/>
      <c r="N3" s="33"/>
      <c r="O3" s="2"/>
    </row>
    <row r="4" spans="1:15" x14ac:dyDescent="0.25">
      <c r="A4" s="1"/>
      <c r="B4" s="1"/>
      <c r="C4" s="1"/>
      <c r="D4" s="1" t="s">
        <v>50</v>
      </c>
      <c r="E4" s="1"/>
      <c r="F4" s="1"/>
      <c r="G4" s="2">
        <v>11.83</v>
      </c>
      <c r="H4" s="33"/>
      <c r="I4" s="2">
        <v>0</v>
      </c>
      <c r="J4" s="33"/>
      <c r="K4" s="2">
        <v>0</v>
      </c>
      <c r="L4" s="33"/>
      <c r="M4" s="2">
        <v>0</v>
      </c>
      <c r="N4" s="33"/>
      <c r="O4" s="2">
        <f>ROUND(SUM(G4:M4),5)</f>
        <v>11.83</v>
      </c>
    </row>
    <row r="5" spans="1:15" x14ac:dyDescent="0.25">
      <c r="A5" s="1"/>
      <c r="B5" s="1"/>
      <c r="C5" s="1"/>
      <c r="D5" s="1" t="s">
        <v>51</v>
      </c>
      <c r="E5" s="1"/>
      <c r="F5" s="1"/>
      <c r="G5" s="2"/>
      <c r="H5" s="33"/>
      <c r="I5" s="2"/>
      <c r="J5" s="33"/>
      <c r="K5" s="2"/>
      <c r="L5" s="33"/>
      <c r="M5" s="2"/>
      <c r="N5" s="33"/>
      <c r="O5" s="2"/>
    </row>
    <row r="6" spans="1:15" x14ac:dyDescent="0.25">
      <c r="A6" s="1"/>
      <c r="B6" s="1"/>
      <c r="C6" s="1"/>
      <c r="D6" s="1"/>
      <c r="E6" s="1" t="s">
        <v>52</v>
      </c>
      <c r="F6" s="1"/>
      <c r="G6" s="2">
        <v>100</v>
      </c>
      <c r="H6" s="33"/>
      <c r="I6" s="2">
        <v>0</v>
      </c>
      <c r="J6" s="33"/>
      <c r="K6" s="2">
        <v>0</v>
      </c>
      <c r="L6" s="33"/>
      <c r="M6" s="2">
        <v>0</v>
      </c>
      <c r="N6" s="33"/>
      <c r="O6" s="2">
        <f>ROUND(SUM(G6:M6),5)</f>
        <v>100</v>
      </c>
    </row>
    <row r="7" spans="1:15" ht="15.75" thickBot="1" x14ac:dyDescent="0.3">
      <c r="A7" s="1"/>
      <c r="B7" s="1"/>
      <c r="C7" s="1"/>
      <c r="D7" s="1"/>
      <c r="E7" s="1" t="s">
        <v>53</v>
      </c>
      <c r="F7" s="1"/>
      <c r="G7" s="3">
        <v>500</v>
      </c>
      <c r="H7" s="33"/>
      <c r="I7" s="3">
        <v>0</v>
      </c>
      <c r="J7" s="33"/>
      <c r="K7" s="3">
        <v>0</v>
      </c>
      <c r="L7" s="33"/>
      <c r="M7" s="3">
        <v>0</v>
      </c>
      <c r="N7" s="33"/>
      <c r="O7" s="3">
        <f>ROUND(SUM(G7:M7),5)</f>
        <v>500</v>
      </c>
    </row>
    <row r="8" spans="1:15" x14ac:dyDescent="0.25">
      <c r="A8" s="1"/>
      <c r="B8" s="1"/>
      <c r="C8" s="1"/>
      <c r="D8" s="1" t="s">
        <v>54</v>
      </c>
      <c r="E8" s="1"/>
      <c r="F8" s="1"/>
      <c r="G8" s="2">
        <f>ROUND(G5+G7+G6,5)</f>
        <v>600</v>
      </c>
      <c r="H8" s="33"/>
      <c r="I8" s="2">
        <f>ROUND(I5+I7+I6,5)</f>
        <v>0</v>
      </c>
      <c r="J8" s="33"/>
      <c r="K8" s="2">
        <f>ROUND(K5+K7+K6,5)</f>
        <v>0</v>
      </c>
      <c r="L8" s="33"/>
      <c r="M8" s="2">
        <f>ROUND(M5+M7+M6,5)</f>
        <v>0</v>
      </c>
      <c r="N8" s="33"/>
      <c r="O8" s="2">
        <f>ROUND(SUM(G8:M8),5)</f>
        <v>600</v>
      </c>
    </row>
    <row r="9" spans="1:15" ht="30" customHeight="1" x14ac:dyDescent="0.25">
      <c r="A9" s="1"/>
      <c r="B9" s="1"/>
      <c r="C9" s="1"/>
      <c r="D9" s="1" t="s">
        <v>55</v>
      </c>
      <c r="E9" s="1"/>
      <c r="F9" s="1"/>
      <c r="G9" s="2"/>
      <c r="H9" s="33"/>
      <c r="I9" s="2"/>
      <c r="J9" s="33"/>
      <c r="K9" s="2"/>
      <c r="L9" s="33"/>
      <c r="M9" s="2"/>
      <c r="N9" s="33"/>
      <c r="O9" s="2"/>
    </row>
    <row r="10" spans="1:15" x14ac:dyDescent="0.25">
      <c r="A10" s="1"/>
      <c r="B10" s="1"/>
      <c r="C10" s="1"/>
      <c r="D10" s="1"/>
      <c r="E10" s="1" t="s">
        <v>56</v>
      </c>
      <c r="F10" s="1"/>
      <c r="G10" s="2">
        <v>0</v>
      </c>
      <c r="H10" s="33"/>
      <c r="I10" s="2">
        <v>0</v>
      </c>
      <c r="J10" s="33"/>
      <c r="K10" s="2">
        <v>48400</v>
      </c>
      <c r="L10" s="33"/>
      <c r="M10" s="2">
        <v>0</v>
      </c>
      <c r="N10" s="33"/>
      <c r="O10" s="2">
        <f>ROUND(SUM(G10:M10),5)</f>
        <v>48400</v>
      </c>
    </row>
    <row r="11" spans="1:15" x14ac:dyDescent="0.25">
      <c r="A11" s="1"/>
      <c r="B11" s="1"/>
      <c r="C11" s="1"/>
      <c r="D11" s="1"/>
      <c r="E11" s="1" t="s">
        <v>57</v>
      </c>
      <c r="F11" s="1"/>
      <c r="G11" s="2"/>
      <c r="H11" s="33"/>
      <c r="I11" s="2"/>
      <c r="J11" s="33"/>
      <c r="K11" s="2"/>
      <c r="L11" s="33"/>
      <c r="M11" s="2"/>
      <c r="N11" s="33"/>
      <c r="O11" s="2"/>
    </row>
    <row r="12" spans="1:15" x14ac:dyDescent="0.25">
      <c r="A12" s="1"/>
      <c r="B12" s="1"/>
      <c r="C12" s="1"/>
      <c r="D12" s="1"/>
      <c r="E12" s="1"/>
      <c r="F12" s="1" t="s">
        <v>58</v>
      </c>
      <c r="G12" s="2">
        <v>0</v>
      </c>
      <c r="H12" s="33"/>
      <c r="I12" s="2">
        <v>-18000</v>
      </c>
      <c r="J12" s="33"/>
      <c r="K12" s="2">
        <v>0</v>
      </c>
      <c r="L12" s="33"/>
      <c r="M12" s="2">
        <v>0</v>
      </c>
      <c r="N12" s="33"/>
      <c r="O12" s="2">
        <f t="shared" ref="O12:O17" si="0">ROUND(SUM(G12:M12),5)</f>
        <v>-18000</v>
      </c>
    </row>
    <row r="13" spans="1:15" x14ac:dyDescent="0.25">
      <c r="A13" s="1"/>
      <c r="B13" s="1"/>
      <c r="C13" s="1"/>
      <c r="D13" s="1"/>
      <c r="E13" s="1"/>
      <c r="F13" s="1" t="s">
        <v>59</v>
      </c>
      <c r="G13" s="2">
        <v>867</v>
      </c>
      <c r="H13" s="33"/>
      <c r="I13" s="2">
        <v>0</v>
      </c>
      <c r="J13" s="33"/>
      <c r="K13" s="2">
        <v>0</v>
      </c>
      <c r="L13" s="33"/>
      <c r="M13" s="2">
        <v>0</v>
      </c>
      <c r="N13" s="33"/>
      <c r="O13" s="2">
        <f t="shared" si="0"/>
        <v>867</v>
      </c>
    </row>
    <row r="14" spans="1:15" ht="15.75" thickBot="1" x14ac:dyDescent="0.3">
      <c r="A14" s="1"/>
      <c r="B14" s="1"/>
      <c r="C14" s="1"/>
      <c r="D14" s="1"/>
      <c r="E14" s="1"/>
      <c r="F14" s="1" t="s">
        <v>60</v>
      </c>
      <c r="G14" s="4">
        <v>0</v>
      </c>
      <c r="H14" s="33"/>
      <c r="I14" s="4">
        <v>114650</v>
      </c>
      <c r="J14" s="33"/>
      <c r="K14" s="4">
        <v>0</v>
      </c>
      <c r="L14" s="33"/>
      <c r="M14" s="4">
        <v>0</v>
      </c>
      <c r="N14" s="33"/>
      <c r="O14" s="4">
        <f t="shared" si="0"/>
        <v>114650</v>
      </c>
    </row>
    <row r="15" spans="1:15" ht="15.75" thickBot="1" x14ac:dyDescent="0.3">
      <c r="A15" s="1"/>
      <c r="B15" s="1"/>
      <c r="C15" s="1"/>
      <c r="D15" s="1"/>
      <c r="E15" s="1" t="s">
        <v>61</v>
      </c>
      <c r="F15" s="1"/>
      <c r="G15" s="6">
        <f>ROUND(SUM(G11:G14),5)</f>
        <v>867</v>
      </c>
      <c r="H15" s="33"/>
      <c r="I15" s="6">
        <f>ROUND(SUM(I11:I14),5)</f>
        <v>96650</v>
      </c>
      <c r="J15" s="33"/>
      <c r="K15" s="6">
        <f>ROUND(SUM(K11:K14),5)</f>
        <v>0</v>
      </c>
      <c r="L15" s="33"/>
      <c r="M15" s="6">
        <f>ROUND(SUM(M11:M14),5)</f>
        <v>0</v>
      </c>
      <c r="N15" s="33"/>
      <c r="O15" s="6">
        <f t="shared" si="0"/>
        <v>97517</v>
      </c>
    </row>
    <row r="16" spans="1:15" ht="30" customHeight="1" thickBot="1" x14ac:dyDescent="0.3">
      <c r="A16" s="1"/>
      <c r="B16" s="1"/>
      <c r="C16" s="1"/>
      <c r="D16" s="1" t="s">
        <v>62</v>
      </c>
      <c r="E16" s="1"/>
      <c r="F16" s="1"/>
      <c r="G16" s="5">
        <f>ROUND(G9+G15+G10,5)</f>
        <v>867</v>
      </c>
      <c r="H16" s="33"/>
      <c r="I16" s="5">
        <f>ROUND(I9+I15+I10,5)</f>
        <v>96650</v>
      </c>
      <c r="J16" s="33"/>
      <c r="K16" s="5">
        <f>ROUND(K9+K15+K10,5)</f>
        <v>48400</v>
      </c>
      <c r="L16" s="33"/>
      <c r="M16" s="5">
        <f>ROUND(M9+M15+M10,5)</f>
        <v>0</v>
      </c>
      <c r="N16" s="33"/>
      <c r="O16" s="5">
        <f t="shared" si="0"/>
        <v>145917</v>
      </c>
    </row>
    <row r="17" spans="1:15" ht="30" customHeight="1" x14ac:dyDescent="0.25">
      <c r="A17" s="1"/>
      <c r="B17" s="1"/>
      <c r="C17" s="1" t="s">
        <v>63</v>
      </c>
      <c r="D17" s="1"/>
      <c r="E17" s="1"/>
      <c r="F17" s="1"/>
      <c r="G17" s="2">
        <f>ROUND(G3+G8+G4+G16,5)</f>
        <v>1478.83</v>
      </c>
      <c r="H17" s="33"/>
      <c r="I17" s="2">
        <f>ROUND(I3+I8+I4+I16,5)</f>
        <v>96650</v>
      </c>
      <c r="J17" s="33"/>
      <c r="K17" s="2">
        <f>ROUND(K3+K8+K4+K16,5)</f>
        <v>48400</v>
      </c>
      <c r="L17" s="33"/>
      <c r="M17" s="2">
        <f>ROUND(M3+M8+M4+M16,5)</f>
        <v>0</v>
      </c>
      <c r="N17" s="33"/>
      <c r="O17" s="2">
        <f t="shared" si="0"/>
        <v>146528.82999999999</v>
      </c>
    </row>
    <row r="18" spans="1:15" ht="30" customHeight="1" x14ac:dyDescent="0.25">
      <c r="A18" s="1"/>
      <c r="B18" s="1"/>
      <c r="C18" s="1" t="s">
        <v>64</v>
      </c>
      <c r="D18" s="1"/>
      <c r="E18" s="1"/>
      <c r="F18" s="1"/>
      <c r="G18" s="2"/>
      <c r="H18" s="33"/>
      <c r="I18" s="2"/>
      <c r="J18" s="33"/>
      <c r="K18" s="2"/>
      <c r="L18" s="33"/>
      <c r="M18" s="2"/>
      <c r="N18" s="33"/>
      <c r="O18" s="2"/>
    </row>
    <row r="19" spans="1:15" x14ac:dyDescent="0.25">
      <c r="A19" s="1"/>
      <c r="B19" s="1"/>
      <c r="C19" s="1"/>
      <c r="D19" s="1" t="s">
        <v>65</v>
      </c>
      <c r="E19" s="1"/>
      <c r="F19" s="1"/>
      <c r="G19" s="2"/>
      <c r="H19" s="33"/>
      <c r="I19" s="2"/>
      <c r="J19" s="33"/>
      <c r="K19" s="2"/>
      <c r="L19" s="33"/>
      <c r="M19" s="2"/>
      <c r="N19" s="33"/>
      <c r="O19" s="2"/>
    </row>
    <row r="20" spans="1:15" s="8" customFormat="1" ht="12" thickBot="1" x14ac:dyDescent="0.25">
      <c r="A20" s="1"/>
      <c r="B20" s="1"/>
      <c r="C20" s="1"/>
      <c r="D20" s="1"/>
      <c r="E20" s="1" t="s">
        <v>66</v>
      </c>
      <c r="F20" s="1"/>
      <c r="G20" s="3">
        <v>680</v>
      </c>
      <c r="H20" s="33"/>
      <c r="I20" s="3">
        <v>0</v>
      </c>
      <c r="J20" s="33"/>
      <c r="K20" s="3">
        <v>0</v>
      </c>
      <c r="L20" s="33"/>
      <c r="M20" s="3">
        <v>0</v>
      </c>
      <c r="N20" s="33"/>
      <c r="O20" s="3">
        <f>ROUND(SUM(G20:M20),5)</f>
        <v>680</v>
      </c>
    </row>
    <row r="21" spans="1:15" x14ac:dyDescent="0.25">
      <c r="A21" s="1"/>
      <c r="B21" s="1"/>
      <c r="C21" s="1"/>
      <c r="D21" s="1" t="s">
        <v>67</v>
      </c>
      <c r="E21" s="1"/>
      <c r="F21" s="1"/>
      <c r="G21" s="2">
        <f>ROUND(SUM(G19:G20),5)</f>
        <v>680</v>
      </c>
      <c r="H21" s="33"/>
      <c r="I21" s="2">
        <f>ROUND(SUM(I19:I20),5)</f>
        <v>0</v>
      </c>
      <c r="J21" s="33"/>
      <c r="K21" s="2">
        <f>ROUND(SUM(K19:K20),5)</f>
        <v>0</v>
      </c>
      <c r="L21" s="33"/>
      <c r="M21" s="2">
        <f>ROUND(SUM(M19:M20),5)</f>
        <v>0</v>
      </c>
      <c r="N21" s="33"/>
      <c r="O21" s="2">
        <f>ROUND(SUM(G21:M21),5)</f>
        <v>680</v>
      </c>
    </row>
    <row r="22" spans="1:15" ht="30" customHeight="1" x14ac:dyDescent="0.25">
      <c r="A22" s="1"/>
      <c r="B22" s="1"/>
      <c r="C22" s="1"/>
      <c r="D22" s="1" t="s">
        <v>68</v>
      </c>
      <c r="E22" s="1"/>
      <c r="F22" s="1"/>
      <c r="G22" s="2"/>
      <c r="H22" s="33"/>
      <c r="I22" s="2"/>
      <c r="J22" s="33"/>
      <c r="K22" s="2"/>
      <c r="L22" s="33"/>
      <c r="M22" s="2"/>
      <c r="N22" s="33"/>
      <c r="O22" s="2"/>
    </row>
    <row r="23" spans="1:15" x14ac:dyDescent="0.25">
      <c r="A23" s="1"/>
      <c r="B23" s="1"/>
      <c r="C23" s="1"/>
      <c r="D23" s="1"/>
      <c r="E23" s="1" t="s">
        <v>69</v>
      </c>
      <c r="F23" s="1"/>
      <c r="G23" s="2">
        <v>4.5</v>
      </c>
      <c r="H23" s="33"/>
      <c r="I23" s="2">
        <v>0</v>
      </c>
      <c r="J23" s="33"/>
      <c r="K23" s="2">
        <v>0</v>
      </c>
      <c r="L23" s="33"/>
      <c r="M23" s="2">
        <v>0</v>
      </c>
      <c r="N23" s="33"/>
      <c r="O23" s="2">
        <f>ROUND(SUM(G23:M23),5)</f>
        <v>4.5</v>
      </c>
    </row>
    <row r="24" spans="1:15" ht="15.75" thickBot="1" x14ac:dyDescent="0.3">
      <c r="A24" s="1"/>
      <c r="B24" s="1"/>
      <c r="C24" s="1"/>
      <c r="D24" s="1"/>
      <c r="E24" s="1" t="s">
        <v>70</v>
      </c>
      <c r="F24" s="1"/>
      <c r="G24" s="3">
        <v>2417.77</v>
      </c>
      <c r="H24" s="33"/>
      <c r="I24" s="3">
        <v>0</v>
      </c>
      <c r="J24" s="33"/>
      <c r="K24" s="3">
        <v>0</v>
      </c>
      <c r="L24" s="33"/>
      <c r="M24" s="3">
        <v>-56</v>
      </c>
      <c r="N24" s="33"/>
      <c r="O24" s="3">
        <f>ROUND(SUM(G24:M24),5)</f>
        <v>2361.77</v>
      </c>
    </row>
    <row r="25" spans="1:15" x14ac:dyDescent="0.25">
      <c r="A25" s="1"/>
      <c r="B25" s="1"/>
      <c r="C25" s="1"/>
      <c r="D25" s="1" t="s">
        <v>71</v>
      </c>
      <c r="E25" s="1"/>
      <c r="F25" s="1"/>
      <c r="G25" s="2">
        <f>ROUND(SUM(G22:G24),5)</f>
        <v>2422.27</v>
      </c>
      <c r="H25" s="33"/>
      <c r="I25" s="2">
        <f>ROUND(SUM(I22:I24),5)</f>
        <v>0</v>
      </c>
      <c r="J25" s="33"/>
      <c r="K25" s="2">
        <f>ROUND(SUM(K22:K24),5)</f>
        <v>0</v>
      </c>
      <c r="L25" s="33"/>
      <c r="M25" s="2">
        <f>ROUND(SUM(M22:M24),5)</f>
        <v>-56</v>
      </c>
      <c r="N25" s="33"/>
      <c r="O25" s="2">
        <f>ROUND(SUM(G25:M25),5)</f>
        <v>2366.27</v>
      </c>
    </row>
    <row r="26" spans="1:15" ht="30" customHeight="1" x14ac:dyDescent="0.25">
      <c r="A26" s="1"/>
      <c r="B26" s="1"/>
      <c r="C26" s="1"/>
      <c r="D26" s="1" t="s">
        <v>72</v>
      </c>
      <c r="E26" s="1"/>
      <c r="F26" s="1"/>
      <c r="G26" s="2"/>
      <c r="H26" s="33"/>
      <c r="I26" s="2"/>
      <c r="J26" s="33"/>
      <c r="K26" s="2"/>
      <c r="L26" s="33"/>
      <c r="M26" s="2"/>
      <c r="N26" s="33"/>
      <c r="O26" s="2"/>
    </row>
    <row r="27" spans="1:15" x14ac:dyDescent="0.25">
      <c r="A27" s="1"/>
      <c r="B27" s="1"/>
      <c r="C27" s="1"/>
      <c r="D27" s="1"/>
      <c r="E27" s="1" t="s">
        <v>73</v>
      </c>
      <c r="F27" s="1"/>
      <c r="G27" s="2"/>
      <c r="H27" s="33"/>
      <c r="I27" s="2"/>
      <c r="J27" s="33"/>
      <c r="K27" s="2"/>
      <c r="L27" s="33"/>
      <c r="M27" s="2"/>
      <c r="N27" s="33"/>
      <c r="O27" s="2"/>
    </row>
    <row r="28" spans="1:15" ht="15.75" thickBot="1" x14ac:dyDescent="0.3">
      <c r="A28" s="1"/>
      <c r="B28" s="1"/>
      <c r="C28" s="1"/>
      <c r="D28" s="1"/>
      <c r="E28" s="1"/>
      <c r="F28" s="1" t="s">
        <v>74</v>
      </c>
      <c r="G28" s="3">
        <v>75</v>
      </c>
      <c r="H28" s="33"/>
      <c r="I28" s="3">
        <v>0</v>
      </c>
      <c r="J28" s="33"/>
      <c r="K28" s="3">
        <v>0</v>
      </c>
      <c r="L28" s="33"/>
      <c r="M28" s="3">
        <v>0</v>
      </c>
      <c r="N28" s="33"/>
      <c r="O28" s="3">
        <f t="shared" ref="O28:O43" si="1">ROUND(SUM(G28:M28),5)</f>
        <v>75</v>
      </c>
    </row>
    <row r="29" spans="1:15" x14ac:dyDescent="0.25">
      <c r="A29" s="1"/>
      <c r="B29" s="1"/>
      <c r="C29" s="1"/>
      <c r="D29" s="1"/>
      <c r="E29" s="1" t="s">
        <v>75</v>
      </c>
      <c r="F29" s="1"/>
      <c r="G29" s="2">
        <f>ROUND(SUM(G27:G28),5)</f>
        <v>75</v>
      </c>
      <c r="H29" s="33"/>
      <c r="I29" s="2">
        <f>ROUND(SUM(I27:I28),5)</f>
        <v>0</v>
      </c>
      <c r="J29" s="33"/>
      <c r="K29" s="2">
        <f>ROUND(SUM(K27:K28),5)</f>
        <v>0</v>
      </c>
      <c r="L29" s="33"/>
      <c r="M29" s="2">
        <f>ROUND(SUM(M27:M28),5)</f>
        <v>0</v>
      </c>
      <c r="N29" s="33"/>
      <c r="O29" s="2">
        <f t="shared" si="1"/>
        <v>75</v>
      </c>
    </row>
    <row r="30" spans="1:15" ht="30" customHeight="1" x14ac:dyDescent="0.25">
      <c r="A30" s="1"/>
      <c r="B30" s="1"/>
      <c r="C30" s="1"/>
      <c r="D30" s="1"/>
      <c r="E30" s="1" t="s">
        <v>76</v>
      </c>
      <c r="F30" s="1"/>
      <c r="G30" s="2">
        <v>108.02</v>
      </c>
      <c r="H30" s="33"/>
      <c r="I30" s="2">
        <v>0</v>
      </c>
      <c r="J30" s="33"/>
      <c r="K30" s="2">
        <v>0</v>
      </c>
      <c r="L30" s="33"/>
      <c r="M30" s="2">
        <v>0</v>
      </c>
      <c r="N30" s="33"/>
      <c r="O30" s="2">
        <f t="shared" si="1"/>
        <v>108.02</v>
      </c>
    </row>
    <row r="31" spans="1:15" x14ac:dyDescent="0.25">
      <c r="A31" s="1"/>
      <c r="B31" s="1"/>
      <c r="C31" s="1"/>
      <c r="D31" s="1"/>
      <c r="E31" s="1" t="s">
        <v>77</v>
      </c>
      <c r="F31" s="1"/>
      <c r="G31" s="2">
        <v>0</v>
      </c>
      <c r="H31" s="33"/>
      <c r="I31" s="2">
        <v>176</v>
      </c>
      <c r="J31" s="33"/>
      <c r="K31" s="2">
        <v>0</v>
      </c>
      <c r="L31" s="33"/>
      <c r="M31" s="2">
        <v>0</v>
      </c>
      <c r="N31" s="33"/>
      <c r="O31" s="2">
        <f t="shared" si="1"/>
        <v>176</v>
      </c>
    </row>
    <row r="32" spans="1:15" x14ac:dyDescent="0.25">
      <c r="A32" s="1"/>
      <c r="B32" s="1"/>
      <c r="C32" s="1"/>
      <c r="D32" s="1"/>
      <c r="E32" s="1" t="s">
        <v>78</v>
      </c>
      <c r="F32" s="1"/>
      <c r="G32" s="2">
        <v>0</v>
      </c>
      <c r="H32" s="33"/>
      <c r="I32" s="2">
        <v>344</v>
      </c>
      <c r="J32" s="33"/>
      <c r="K32" s="2">
        <v>0</v>
      </c>
      <c r="L32" s="33"/>
      <c r="M32" s="2">
        <v>0</v>
      </c>
      <c r="N32" s="33"/>
      <c r="O32" s="2">
        <f t="shared" si="1"/>
        <v>344</v>
      </c>
    </row>
    <row r="33" spans="1:15" x14ac:dyDescent="0.25">
      <c r="A33" s="1"/>
      <c r="B33" s="1"/>
      <c r="C33" s="1"/>
      <c r="D33" s="1"/>
      <c r="E33" s="1" t="s">
        <v>79</v>
      </c>
      <c r="F33" s="1"/>
      <c r="G33" s="2">
        <v>0</v>
      </c>
      <c r="H33" s="33"/>
      <c r="I33" s="2">
        <v>247.5</v>
      </c>
      <c r="J33" s="33"/>
      <c r="K33" s="2">
        <v>298.25</v>
      </c>
      <c r="L33" s="33"/>
      <c r="M33" s="2">
        <v>0</v>
      </c>
      <c r="N33" s="33"/>
      <c r="O33" s="2">
        <f t="shared" si="1"/>
        <v>545.75</v>
      </c>
    </row>
    <row r="34" spans="1:15" x14ac:dyDescent="0.25">
      <c r="A34" s="1"/>
      <c r="B34" s="1"/>
      <c r="C34" s="1"/>
      <c r="D34" s="1"/>
      <c r="E34" s="1" t="s">
        <v>80</v>
      </c>
      <c r="F34" s="1"/>
      <c r="G34" s="2">
        <v>0</v>
      </c>
      <c r="H34" s="33"/>
      <c r="I34" s="2">
        <v>1358.28</v>
      </c>
      <c r="J34" s="33"/>
      <c r="K34" s="2">
        <v>0</v>
      </c>
      <c r="L34" s="33"/>
      <c r="M34" s="2">
        <v>0</v>
      </c>
      <c r="N34" s="33"/>
      <c r="O34" s="2">
        <f t="shared" si="1"/>
        <v>1358.28</v>
      </c>
    </row>
    <row r="35" spans="1:15" x14ac:dyDescent="0.25">
      <c r="A35" s="1"/>
      <c r="B35" s="1"/>
      <c r="C35" s="1"/>
      <c r="D35" s="1"/>
      <c r="E35" s="1" t="s">
        <v>81</v>
      </c>
      <c r="F35" s="1"/>
      <c r="G35" s="2">
        <v>0</v>
      </c>
      <c r="H35" s="33"/>
      <c r="I35" s="2">
        <v>1627.55</v>
      </c>
      <c r="J35" s="33"/>
      <c r="K35" s="2">
        <v>0</v>
      </c>
      <c r="L35" s="33"/>
      <c r="M35" s="2">
        <v>0</v>
      </c>
      <c r="N35" s="33"/>
      <c r="O35" s="2">
        <f t="shared" si="1"/>
        <v>1627.55</v>
      </c>
    </row>
    <row r="36" spans="1:15" x14ac:dyDescent="0.25">
      <c r="A36" s="1"/>
      <c r="B36" s="1"/>
      <c r="C36" s="1"/>
      <c r="D36" s="1"/>
      <c r="E36" s="1" t="s">
        <v>82</v>
      </c>
      <c r="F36" s="1"/>
      <c r="G36" s="2">
        <v>0</v>
      </c>
      <c r="H36" s="33"/>
      <c r="I36" s="2">
        <v>2914.35</v>
      </c>
      <c r="J36" s="33"/>
      <c r="K36" s="2">
        <v>781.5</v>
      </c>
      <c r="L36" s="33"/>
      <c r="M36" s="2">
        <v>0</v>
      </c>
      <c r="N36" s="33"/>
      <c r="O36" s="2">
        <f t="shared" si="1"/>
        <v>3695.85</v>
      </c>
    </row>
    <row r="37" spans="1:15" s="8" customFormat="1" ht="11.25" x14ac:dyDescent="0.2">
      <c r="A37" s="1"/>
      <c r="B37" s="1"/>
      <c r="C37" s="1"/>
      <c r="D37" s="1"/>
      <c r="E37" s="1" t="s">
        <v>83</v>
      </c>
      <c r="F37" s="1"/>
      <c r="G37" s="2">
        <v>0</v>
      </c>
      <c r="H37" s="33"/>
      <c r="I37" s="2">
        <v>3033.46</v>
      </c>
      <c r="J37" s="33"/>
      <c r="K37" s="2">
        <v>1484.25</v>
      </c>
      <c r="L37" s="33"/>
      <c r="M37" s="2">
        <v>0</v>
      </c>
      <c r="N37" s="33"/>
      <c r="O37" s="2">
        <f t="shared" si="1"/>
        <v>4517.71</v>
      </c>
    </row>
    <row r="38" spans="1:15" x14ac:dyDescent="0.25">
      <c r="A38" s="1"/>
      <c r="B38" s="1"/>
      <c r="C38" s="1"/>
      <c r="D38" s="1"/>
      <c r="E38" s="1" t="s">
        <v>84</v>
      </c>
      <c r="F38" s="1"/>
      <c r="G38" s="2">
        <v>0</v>
      </c>
      <c r="H38" s="33"/>
      <c r="I38" s="2">
        <v>3735.44</v>
      </c>
      <c r="J38" s="33"/>
      <c r="K38" s="2">
        <v>2084.9899999999998</v>
      </c>
      <c r="L38" s="33"/>
      <c r="M38" s="2">
        <v>0</v>
      </c>
      <c r="N38" s="33"/>
      <c r="O38" s="2">
        <f t="shared" si="1"/>
        <v>5820.43</v>
      </c>
    </row>
    <row r="39" spans="1:15" ht="15.75" thickBot="1" x14ac:dyDescent="0.3">
      <c r="A39" s="1"/>
      <c r="B39" s="1"/>
      <c r="C39" s="1"/>
      <c r="D39" s="1"/>
      <c r="E39" s="1" t="s">
        <v>85</v>
      </c>
      <c r="F39" s="1"/>
      <c r="G39" s="4">
        <v>0</v>
      </c>
      <c r="H39" s="33"/>
      <c r="I39" s="4">
        <v>67281.95</v>
      </c>
      <c r="J39" s="33"/>
      <c r="K39" s="4">
        <v>45107.78</v>
      </c>
      <c r="L39" s="33"/>
      <c r="M39" s="4">
        <v>0</v>
      </c>
      <c r="N39" s="33"/>
      <c r="O39" s="4">
        <f t="shared" si="1"/>
        <v>112389.73</v>
      </c>
    </row>
    <row r="40" spans="1:15" ht="15.75" thickBot="1" x14ac:dyDescent="0.3">
      <c r="A40" s="1"/>
      <c r="B40" s="1"/>
      <c r="C40" s="1"/>
      <c r="D40" s="1" t="s">
        <v>86</v>
      </c>
      <c r="E40" s="1"/>
      <c r="F40" s="1"/>
      <c r="G40" s="6">
        <f>ROUND(G26+G39+G37+G36+SUM(G32:G33)+G31+G34+SUM(G29:G30)+G38+G35,5)</f>
        <v>183.02</v>
      </c>
      <c r="H40" s="33"/>
      <c r="I40" s="6">
        <f>ROUND(I26+I39+I37+I36+SUM(I32:I33)+I31+I34+SUM(I29:I30)+I38+I35,5)</f>
        <v>80718.53</v>
      </c>
      <c r="J40" s="33"/>
      <c r="K40" s="6">
        <f>ROUND(K26+K39+K37+K36+SUM(K32:K33)+K31+K34+SUM(K29:K30)+K38+K35,5)</f>
        <v>49756.77</v>
      </c>
      <c r="L40" s="33"/>
      <c r="M40" s="6">
        <f>ROUND(M26+M39+M37+M36+SUM(M32:M33)+M31+M34+SUM(M29:M30)+M38+M35,5)</f>
        <v>0</v>
      </c>
      <c r="N40" s="33"/>
      <c r="O40" s="6">
        <f t="shared" si="1"/>
        <v>130658.32</v>
      </c>
    </row>
    <row r="41" spans="1:15" ht="30" customHeight="1" thickBot="1" x14ac:dyDescent="0.3">
      <c r="A41" s="1"/>
      <c r="B41" s="1"/>
      <c r="C41" s="1" t="s">
        <v>87</v>
      </c>
      <c r="D41" s="1"/>
      <c r="E41" s="1"/>
      <c r="F41" s="1"/>
      <c r="G41" s="6">
        <f>ROUND(G18+G25+G21+G40,5)</f>
        <v>3285.29</v>
      </c>
      <c r="H41" s="33"/>
      <c r="I41" s="6">
        <f>ROUND(I18+I25+I21+I40,5)</f>
        <v>80718.53</v>
      </c>
      <c r="J41" s="33"/>
      <c r="K41" s="6">
        <f>ROUND(K18+K25+K21+K40,5)</f>
        <v>49756.77</v>
      </c>
      <c r="L41" s="33"/>
      <c r="M41" s="6">
        <f>ROUND(M18+M25+M21+M40,5)</f>
        <v>-56</v>
      </c>
      <c r="N41" s="33"/>
      <c r="O41" s="6">
        <f t="shared" si="1"/>
        <v>133704.59</v>
      </c>
    </row>
    <row r="42" spans="1:15" s="8" customFormat="1" ht="30" customHeight="1" thickBot="1" x14ac:dyDescent="0.25">
      <c r="A42" s="1"/>
      <c r="B42" s="1" t="s">
        <v>88</v>
      </c>
      <c r="C42" s="1"/>
      <c r="D42" s="1"/>
      <c r="E42" s="1"/>
      <c r="F42" s="1"/>
      <c r="G42" s="6">
        <f>ROUND(G2+G17-G41,5)</f>
        <v>-1806.46</v>
      </c>
      <c r="H42" s="33"/>
      <c r="I42" s="6">
        <f>ROUND(I2+I17-I41,5)</f>
        <v>15931.47</v>
      </c>
      <c r="J42" s="33"/>
      <c r="K42" s="6">
        <f>ROUND(K2+K17-K41,5)</f>
        <v>-1356.77</v>
      </c>
      <c r="L42" s="33"/>
      <c r="M42" s="6">
        <f>ROUND(M2+M17-M41,5)</f>
        <v>56</v>
      </c>
      <c r="N42" s="33"/>
      <c r="O42" s="6">
        <f t="shared" si="1"/>
        <v>12824.24</v>
      </c>
    </row>
    <row r="43" spans="1:15" s="8" customFormat="1" ht="30" customHeight="1" thickBot="1" x14ac:dyDescent="0.25">
      <c r="A43" s="1" t="s">
        <v>105</v>
      </c>
      <c r="B43" s="1"/>
      <c r="C43" s="1"/>
      <c r="D43" s="1"/>
      <c r="E43" s="1"/>
      <c r="F43" s="1"/>
      <c r="G43" s="7">
        <f>G42</f>
        <v>-1806.46</v>
      </c>
      <c r="H43" s="1"/>
      <c r="I43" s="7">
        <f>I42</f>
        <v>15931.47</v>
      </c>
      <c r="J43" s="1"/>
      <c r="K43" s="7">
        <f>K42</f>
        <v>-1356.77</v>
      </c>
      <c r="L43" s="1"/>
      <c r="M43" s="7">
        <f>M42</f>
        <v>56</v>
      </c>
      <c r="N43" s="1"/>
      <c r="O43" s="7">
        <f t="shared" si="1"/>
        <v>12824.24</v>
      </c>
    </row>
    <row r="44" spans="1:15" ht="15.75" thickTop="1" x14ac:dyDescent="0.25"/>
    <row r="46" spans="1:15" ht="15.75" thickBot="1" x14ac:dyDescent="0.3"/>
    <row r="47" spans="1:15" x14ac:dyDescent="0.25">
      <c r="F47" s="36" t="s">
        <v>89</v>
      </c>
      <c r="G47" s="37"/>
      <c r="H47" s="16"/>
      <c r="I47" s="17"/>
    </row>
    <row r="48" spans="1:15" x14ac:dyDescent="0.25">
      <c r="F48" s="18" t="s">
        <v>158</v>
      </c>
      <c r="G48" s="28">
        <f>54547.35/120</f>
        <v>454.56124999999997</v>
      </c>
      <c r="H48" s="28">
        <f>90391.79/240</f>
        <v>376.63245833333332</v>
      </c>
      <c r="I48" s="19"/>
    </row>
    <row r="49" spans="6:9" ht="15.75" thickBot="1" x14ac:dyDescent="0.3">
      <c r="F49" s="27" t="s">
        <v>159</v>
      </c>
      <c r="G49" s="21">
        <f>17131.84/360</f>
        <v>47.588444444444448</v>
      </c>
      <c r="H49" s="21">
        <f>17131.84/360</f>
        <v>47.588444444444448</v>
      </c>
      <c r="I49" s="22"/>
    </row>
    <row r="50" spans="6:9" ht="16.5" x14ac:dyDescent="0.35">
      <c r="F50" s="20"/>
      <c r="G50" s="29">
        <f>SUM(G48:G49)</f>
        <v>502.14969444444444</v>
      </c>
      <c r="H50" s="29">
        <f>SUM(H48:H49)</f>
        <v>424.22090277777778</v>
      </c>
      <c r="I50" s="22"/>
    </row>
    <row r="51" spans="6:9" ht="15.75" thickBot="1" x14ac:dyDescent="0.3">
      <c r="F51" s="23"/>
      <c r="G51" s="24"/>
      <c r="H51" s="24"/>
      <c r="I51" s="25"/>
    </row>
  </sheetData>
  <phoneticPr fontId="9" type="noConversion"/>
  <pageMargins left="0.7" right="0.7" top="0.75" bottom="0.75" header="0.25" footer="0.3"/>
  <headerFooter>
    <oddHeader>&amp;L&amp;"Arial,Bold"&amp;8 8:44 PM
&amp;"Arial,Bold"&amp;8 08/12/11
&amp;"Arial,Bold"&amp;8 Accrual Basis&amp;C&amp;"Arial,Bold"&amp;12 Rocky Mountain RYLA
&amp;"Arial,Bold"&amp;14 Profit &amp;&amp; Loss by Class
&amp;"Arial,Bold"&amp;10 July 1 through August 12, 2011</oddHeader>
    <oddFooter>&amp;R&amp;"Arial,Bold"&amp;8 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8"/>
  <sheetViews>
    <sheetView zoomScale="150" zoomScaleNormal="150" zoomScalePageLayoutView="150" workbookViewId="0">
      <pane xSplit="6" ySplit="1" topLeftCell="H50" activePane="bottomRight" state="frozen"/>
      <selection pane="topRight" activeCell="G1" sqref="G1"/>
      <selection pane="bottomLeft" activeCell="A2" sqref="A2"/>
      <selection pane="bottomRight" activeCell="M61" sqref="M61"/>
    </sheetView>
  </sheetViews>
  <sheetFormatPr defaultColWidth="8.85546875" defaultRowHeight="15" x14ac:dyDescent="0.25"/>
  <cols>
    <col min="1" max="5" width="3" customWidth="1"/>
    <col min="6" max="6" width="30.42578125" customWidth="1"/>
    <col min="7" max="7" width="10" customWidth="1"/>
    <col min="8" max="8" width="2.7109375" customWidth="1"/>
    <col min="9" max="9" width="9.85546875" customWidth="1"/>
    <col min="10" max="10" width="2.42578125" customWidth="1"/>
    <col min="11" max="11" width="10.85546875" customWidth="1"/>
    <col min="12" max="12" width="2.28515625" customWidth="1"/>
    <col min="13" max="13" width="10.7109375" style="69" customWidth="1"/>
    <col min="14" max="14" width="2.140625" customWidth="1"/>
    <col min="15" max="15" width="7.28515625" customWidth="1"/>
    <col min="16" max="16" width="3.140625" customWidth="1"/>
    <col min="17" max="17" width="11.28515625" customWidth="1"/>
    <col min="18" max="18" width="20.28515625" style="60" customWidth="1"/>
  </cols>
  <sheetData>
    <row r="1" spans="1:18" ht="24" thickBot="1" x14ac:dyDescent="0.3">
      <c r="A1" s="9"/>
      <c r="B1" s="9"/>
      <c r="C1" s="9"/>
      <c r="D1" s="9"/>
      <c r="E1" s="9"/>
      <c r="F1" s="9"/>
      <c r="G1" s="34" t="s">
        <v>43</v>
      </c>
      <c r="H1" s="35"/>
      <c r="I1" s="34" t="s">
        <v>17</v>
      </c>
      <c r="J1" s="35"/>
      <c r="K1" s="34" t="s">
        <v>13</v>
      </c>
      <c r="L1" s="35"/>
      <c r="M1" s="61" t="s">
        <v>14</v>
      </c>
      <c r="N1" s="35"/>
      <c r="O1" s="34" t="s">
        <v>46</v>
      </c>
      <c r="P1" s="35"/>
      <c r="Q1" s="34" t="s">
        <v>47</v>
      </c>
    </row>
    <row r="2" spans="1:18" ht="15.75" thickTop="1" x14ac:dyDescent="0.25">
      <c r="A2" s="1"/>
      <c r="B2" s="1" t="s">
        <v>48</v>
      </c>
      <c r="C2" s="1"/>
      <c r="D2" s="1"/>
      <c r="E2" s="1"/>
      <c r="F2" s="1"/>
      <c r="G2" s="2"/>
      <c r="H2" s="33"/>
      <c r="I2" s="2"/>
      <c r="J2" s="33"/>
      <c r="K2" s="2"/>
      <c r="L2" s="33"/>
      <c r="M2" s="62"/>
      <c r="N2" s="33"/>
      <c r="O2" s="2"/>
      <c r="P2" s="33"/>
      <c r="Q2" s="2"/>
    </row>
    <row r="3" spans="1:18" x14ac:dyDescent="0.25">
      <c r="A3" s="1"/>
      <c r="B3" s="1"/>
      <c r="C3" s="1" t="s">
        <v>49</v>
      </c>
      <c r="D3" s="1"/>
      <c r="E3" s="1"/>
      <c r="F3" s="1"/>
      <c r="G3" s="53"/>
      <c r="H3" s="33"/>
      <c r="I3" s="53"/>
      <c r="J3" s="33"/>
      <c r="K3" s="53"/>
      <c r="L3" s="33"/>
      <c r="M3" s="63"/>
      <c r="N3" s="33"/>
      <c r="O3" s="53"/>
      <c r="P3" s="33"/>
      <c r="Q3" s="53"/>
    </row>
    <row r="4" spans="1:18" x14ac:dyDescent="0.25">
      <c r="A4" s="1"/>
      <c r="B4" s="1"/>
      <c r="C4" s="1"/>
      <c r="D4" s="1" t="s">
        <v>50</v>
      </c>
      <c r="E4" s="1"/>
      <c r="F4" s="1"/>
      <c r="G4" s="53"/>
      <c r="H4" s="33"/>
      <c r="I4" s="53"/>
      <c r="J4" s="33"/>
      <c r="K4" s="53"/>
      <c r="L4" s="33"/>
      <c r="M4" s="63"/>
      <c r="N4" s="33"/>
      <c r="O4" s="53"/>
      <c r="P4" s="33"/>
      <c r="Q4" s="53"/>
    </row>
    <row r="5" spans="1:18" x14ac:dyDescent="0.25">
      <c r="A5" s="1"/>
      <c r="B5" s="1"/>
      <c r="C5" s="1"/>
      <c r="D5" s="1"/>
      <c r="E5" s="1" t="s">
        <v>90</v>
      </c>
      <c r="F5" s="1"/>
      <c r="G5" s="53">
        <v>30</v>
      </c>
      <c r="H5" s="33"/>
      <c r="I5" s="53">
        <v>0</v>
      </c>
      <c r="J5" s="33"/>
      <c r="K5" s="53">
        <v>0</v>
      </c>
      <c r="L5" s="33"/>
      <c r="M5" s="63">
        <v>0</v>
      </c>
      <c r="N5" s="33"/>
      <c r="O5" s="53">
        <v>0</v>
      </c>
      <c r="P5" s="33"/>
      <c r="Q5" s="53">
        <f>ROUND(SUM(G5:O5),5)</f>
        <v>30</v>
      </c>
    </row>
    <row r="6" spans="1:18" ht="15.75" thickBot="1" x14ac:dyDescent="0.3">
      <c r="A6" s="1"/>
      <c r="B6" s="1"/>
      <c r="C6" s="1"/>
      <c r="D6" s="1"/>
      <c r="E6" s="1" t="s">
        <v>91</v>
      </c>
      <c r="F6" s="1"/>
      <c r="G6" s="54">
        <v>100</v>
      </c>
      <c r="H6" s="33"/>
      <c r="I6" s="54">
        <v>0</v>
      </c>
      <c r="J6" s="33"/>
      <c r="K6" s="54">
        <v>0</v>
      </c>
      <c r="L6" s="33"/>
      <c r="M6" s="64">
        <v>0</v>
      </c>
      <c r="N6" s="33"/>
      <c r="O6" s="54">
        <v>0</v>
      </c>
      <c r="P6" s="33"/>
      <c r="Q6" s="54">
        <f>ROUND(SUM(G6:O6),5)</f>
        <v>100</v>
      </c>
    </row>
    <row r="7" spans="1:18" x14ac:dyDescent="0.25">
      <c r="A7" s="1"/>
      <c r="B7" s="1"/>
      <c r="C7" s="1"/>
      <c r="D7" s="1" t="s">
        <v>92</v>
      </c>
      <c r="E7" s="1"/>
      <c r="F7" s="1"/>
      <c r="G7" s="53">
        <f>ROUND(G4+G6+G5,5)</f>
        <v>130</v>
      </c>
      <c r="H7" s="33"/>
      <c r="I7" s="53">
        <f>ROUND(I4+I6+I5,5)</f>
        <v>0</v>
      </c>
      <c r="J7" s="33"/>
      <c r="K7" s="53">
        <f>ROUND(K4+K6+K5,5)</f>
        <v>0</v>
      </c>
      <c r="L7" s="33"/>
      <c r="M7" s="63"/>
      <c r="N7" s="33"/>
      <c r="O7" s="53">
        <f>ROUND(O4+O6+O5,5)</f>
        <v>0</v>
      </c>
      <c r="P7" s="33"/>
      <c r="Q7" s="53">
        <f>ROUND(SUM(G7:O7),5)</f>
        <v>130</v>
      </c>
    </row>
    <row r="8" spans="1:18" x14ac:dyDescent="0.25">
      <c r="A8" s="1"/>
      <c r="B8" s="1"/>
      <c r="C8" s="1"/>
      <c r="D8" s="1" t="s">
        <v>55</v>
      </c>
      <c r="E8" s="1"/>
      <c r="F8" s="1"/>
      <c r="G8" s="53"/>
      <c r="H8" s="33"/>
      <c r="I8" s="53"/>
      <c r="J8" s="33"/>
      <c r="K8" s="53"/>
      <c r="L8" s="33"/>
      <c r="M8" s="63"/>
      <c r="N8" s="33"/>
      <c r="O8" s="53"/>
      <c r="P8" s="33"/>
      <c r="Q8" s="53"/>
    </row>
    <row r="9" spans="1:18" x14ac:dyDescent="0.25">
      <c r="A9" s="1"/>
      <c r="B9" s="1"/>
      <c r="C9" s="1"/>
      <c r="D9" s="1"/>
      <c r="E9" s="1" t="s">
        <v>93</v>
      </c>
      <c r="F9" s="1"/>
      <c r="G9" s="53">
        <v>300</v>
      </c>
      <c r="H9" s="33"/>
      <c r="I9" s="53">
        <v>0</v>
      </c>
      <c r="J9" s="33"/>
      <c r="K9" s="53">
        <v>0</v>
      </c>
      <c r="L9" s="33"/>
      <c r="M9" s="63">
        <v>0</v>
      </c>
      <c r="N9" s="33"/>
      <c r="O9" s="53">
        <v>0</v>
      </c>
      <c r="P9" s="33"/>
      <c r="Q9" s="53">
        <f>ROUND(SUM(G9:O9),5)</f>
        <v>300</v>
      </c>
    </row>
    <row r="10" spans="1:18" x14ac:dyDescent="0.25">
      <c r="A10" s="1"/>
      <c r="B10" s="1"/>
      <c r="C10" s="1"/>
      <c r="D10" s="1"/>
      <c r="E10" s="1" t="s">
        <v>57</v>
      </c>
      <c r="F10" s="1"/>
      <c r="G10" s="53"/>
      <c r="H10" s="33"/>
      <c r="I10" s="53"/>
      <c r="J10" s="33"/>
      <c r="K10" s="53"/>
      <c r="L10" s="33"/>
      <c r="M10" s="63"/>
      <c r="N10" s="33"/>
      <c r="O10" s="53"/>
      <c r="P10" s="33"/>
      <c r="Q10" s="53"/>
    </row>
    <row r="11" spans="1:18" x14ac:dyDescent="0.25">
      <c r="A11" s="1"/>
      <c r="B11" s="1"/>
      <c r="C11" s="1"/>
      <c r="D11" s="1"/>
      <c r="E11" s="1"/>
      <c r="F11" s="1" t="s">
        <v>58</v>
      </c>
      <c r="G11" s="53">
        <v>0</v>
      </c>
      <c r="H11" s="33"/>
      <c r="I11" s="53">
        <f>-(5*I61)</f>
        <v>-2500</v>
      </c>
      <c r="J11" s="33"/>
      <c r="K11" s="53">
        <f>-(20*K61)</f>
        <v>-10000</v>
      </c>
      <c r="L11" s="33"/>
      <c r="M11" s="63">
        <f>-(20*M61)</f>
        <v>-10000</v>
      </c>
      <c r="N11" s="33"/>
      <c r="O11" s="53">
        <v>0</v>
      </c>
      <c r="P11" s="33"/>
      <c r="Q11" s="53">
        <f t="shared" ref="Q11:Q16" si="0">ROUND(SUM(G11:O11),5)</f>
        <v>-22500</v>
      </c>
      <c r="R11" s="60" t="s">
        <v>19</v>
      </c>
    </row>
    <row r="12" spans="1:18" x14ac:dyDescent="0.25">
      <c r="A12" s="1"/>
      <c r="B12" s="1"/>
      <c r="C12" s="1"/>
      <c r="D12" s="1"/>
      <c r="E12" s="1"/>
      <c r="F12" s="1" t="s">
        <v>59</v>
      </c>
      <c r="G12" s="53">
        <v>0</v>
      </c>
      <c r="H12" s="33"/>
      <c r="I12" s="53">
        <v>0</v>
      </c>
      <c r="J12" s="33"/>
      <c r="K12" s="53">
        <v>0</v>
      </c>
      <c r="L12" s="33"/>
      <c r="M12" s="63">
        <v>0</v>
      </c>
      <c r="N12" s="33"/>
      <c r="O12" s="53">
        <v>0</v>
      </c>
      <c r="P12" s="33"/>
      <c r="Q12" s="53">
        <f t="shared" si="0"/>
        <v>0</v>
      </c>
    </row>
    <row r="13" spans="1:18" ht="15.75" thickBot="1" x14ac:dyDescent="0.3">
      <c r="A13" s="1"/>
      <c r="B13" s="1"/>
      <c r="C13" s="1"/>
      <c r="D13" s="1"/>
      <c r="E13" s="1"/>
      <c r="F13" s="1" t="s">
        <v>60</v>
      </c>
      <c r="G13" s="55">
        <v>0</v>
      </c>
      <c r="H13" s="33"/>
      <c r="I13" s="55">
        <f>I60*I61</f>
        <v>120000</v>
      </c>
      <c r="J13" s="33"/>
      <c r="K13" s="55">
        <f>K60*K61</f>
        <v>50000</v>
      </c>
      <c r="L13" s="33"/>
      <c r="M13" s="65">
        <f>M60*M61</f>
        <v>50000</v>
      </c>
      <c r="N13" s="33"/>
      <c r="O13" s="55">
        <v>0</v>
      </c>
      <c r="P13" s="33"/>
      <c r="Q13" s="55">
        <f t="shared" si="0"/>
        <v>220000</v>
      </c>
    </row>
    <row r="14" spans="1:18" ht="15.75" thickBot="1" x14ac:dyDescent="0.3">
      <c r="A14" s="1"/>
      <c r="B14" s="1"/>
      <c r="C14" s="1"/>
      <c r="D14" s="1"/>
      <c r="E14" s="1" t="s">
        <v>61</v>
      </c>
      <c r="F14" s="1"/>
      <c r="G14" s="56">
        <f>ROUND(SUM(G10:G13),5)</f>
        <v>0</v>
      </c>
      <c r="H14" s="33"/>
      <c r="I14" s="56">
        <f>ROUND(SUM(I10:I13),5)</f>
        <v>117500</v>
      </c>
      <c r="J14" s="33"/>
      <c r="K14" s="56">
        <f>ROUND(SUM(K10:K13),5)</f>
        <v>40000</v>
      </c>
      <c r="L14" s="56">
        <f t="shared" ref="L14:M14" si="1">ROUND(SUM(L10:L13),5)</f>
        <v>0</v>
      </c>
      <c r="M14" s="66">
        <f t="shared" si="1"/>
        <v>40000</v>
      </c>
      <c r="N14" s="33"/>
      <c r="O14" s="56">
        <f>ROUND(SUM(O10:O13),5)</f>
        <v>0</v>
      </c>
      <c r="P14" s="33"/>
      <c r="Q14" s="56">
        <f t="shared" si="0"/>
        <v>197500</v>
      </c>
    </row>
    <row r="15" spans="1:18" ht="15.75" thickBot="1" x14ac:dyDescent="0.3">
      <c r="A15" s="1"/>
      <c r="B15" s="1"/>
      <c r="C15" s="1"/>
      <c r="D15" s="1" t="s">
        <v>62</v>
      </c>
      <c r="E15" s="1"/>
      <c r="F15" s="1"/>
      <c r="G15" s="57">
        <f>ROUND(G8+G14+G9,5)</f>
        <v>300</v>
      </c>
      <c r="H15" s="33"/>
      <c r="I15" s="57">
        <f>ROUND(I8+I14+I9,5)</f>
        <v>117500</v>
      </c>
      <c r="J15" s="33"/>
      <c r="K15" s="57">
        <f>ROUND(K8+K14+K9,5)</f>
        <v>40000</v>
      </c>
      <c r="L15" s="57">
        <f t="shared" ref="L15:M15" si="2">ROUND(L8+L14+L9,5)</f>
        <v>0</v>
      </c>
      <c r="M15" s="67">
        <f t="shared" si="2"/>
        <v>40000</v>
      </c>
      <c r="N15" s="33"/>
      <c r="O15" s="57">
        <f>ROUND(O8+O14+O9,5)</f>
        <v>0</v>
      </c>
      <c r="P15" s="33"/>
      <c r="Q15" s="57">
        <f t="shared" si="0"/>
        <v>197800</v>
      </c>
    </row>
    <row r="16" spans="1:18" x14ac:dyDescent="0.25">
      <c r="A16" s="1"/>
      <c r="B16" s="1"/>
      <c r="C16" s="1" t="s">
        <v>63</v>
      </c>
      <c r="D16" s="1"/>
      <c r="E16" s="1"/>
      <c r="F16" s="1"/>
      <c r="G16" s="53">
        <f>ROUND(G3+G7+G15,5)</f>
        <v>430</v>
      </c>
      <c r="H16" s="33"/>
      <c r="I16" s="53">
        <f>ROUND(I3+I7+I15,5)</f>
        <v>117500</v>
      </c>
      <c r="J16" s="33"/>
      <c r="K16" s="53">
        <f>ROUND(K3+K7+K15,5)</f>
        <v>40000</v>
      </c>
      <c r="L16" s="53">
        <f t="shared" ref="L16:M16" si="3">ROUND(L3+L7+L15,5)</f>
        <v>0</v>
      </c>
      <c r="M16" s="63">
        <f t="shared" si="3"/>
        <v>40000</v>
      </c>
      <c r="N16" s="33"/>
      <c r="O16" s="53">
        <f>ROUND(O3+O7+O15,5)</f>
        <v>0</v>
      </c>
      <c r="P16" s="33"/>
      <c r="Q16" s="53">
        <f t="shared" si="0"/>
        <v>197930</v>
      </c>
    </row>
    <row r="17" spans="1:18" x14ac:dyDescent="0.25">
      <c r="A17" s="1"/>
      <c r="B17" s="1"/>
      <c r="C17" s="1" t="s">
        <v>64</v>
      </c>
      <c r="D17" s="1"/>
      <c r="E17" s="1"/>
      <c r="F17" s="1"/>
      <c r="G17" s="53"/>
      <c r="H17" s="33"/>
      <c r="I17" s="53"/>
      <c r="J17" s="33"/>
      <c r="K17" s="53"/>
      <c r="L17" s="33"/>
      <c r="M17" s="63"/>
      <c r="N17" s="33"/>
      <c r="O17" s="53"/>
      <c r="P17" s="33"/>
      <c r="Q17" s="53"/>
    </row>
    <row r="18" spans="1:18" x14ac:dyDescent="0.25">
      <c r="A18" s="1"/>
      <c r="B18" s="1"/>
      <c r="C18" s="1"/>
      <c r="D18" s="1" t="s">
        <v>94</v>
      </c>
      <c r="E18" s="1"/>
      <c r="F18" s="1"/>
      <c r="G18" s="53"/>
      <c r="H18" s="33"/>
      <c r="I18" s="53"/>
      <c r="J18" s="33"/>
      <c r="K18" s="53"/>
      <c r="L18" s="33"/>
      <c r="M18" s="63"/>
      <c r="N18" s="33"/>
      <c r="O18" s="53"/>
      <c r="P18" s="33"/>
      <c r="Q18" s="53"/>
    </row>
    <row r="19" spans="1:18" ht="15.75" thickBot="1" x14ac:dyDescent="0.3">
      <c r="A19" s="1"/>
      <c r="B19" s="1"/>
      <c r="C19" s="1"/>
      <c r="D19" s="1"/>
      <c r="E19" s="1" t="s">
        <v>95</v>
      </c>
      <c r="F19" s="1"/>
      <c r="G19" s="54">
        <v>30</v>
      </c>
      <c r="H19" s="33"/>
      <c r="I19" s="54">
        <v>0</v>
      </c>
      <c r="J19" s="33"/>
      <c r="K19" s="54">
        <v>0</v>
      </c>
      <c r="L19" s="33"/>
      <c r="M19" s="64">
        <v>0</v>
      </c>
      <c r="N19" s="33"/>
      <c r="O19" s="54">
        <v>0</v>
      </c>
      <c r="P19" s="33"/>
      <c r="Q19" s="54">
        <f>ROUND(SUM(G19:O19),5)</f>
        <v>30</v>
      </c>
    </row>
    <row r="20" spans="1:18" x14ac:dyDescent="0.25">
      <c r="A20" s="1"/>
      <c r="B20" s="1"/>
      <c r="C20" s="1"/>
      <c r="D20" s="1" t="s">
        <v>96</v>
      </c>
      <c r="E20" s="1"/>
      <c r="F20" s="1"/>
      <c r="G20" s="53">
        <f>ROUND(SUM(G18:G19),5)</f>
        <v>30</v>
      </c>
      <c r="H20" s="33"/>
      <c r="I20" s="53">
        <f>ROUND(SUM(I18:I19),5)</f>
        <v>0</v>
      </c>
      <c r="J20" s="33"/>
      <c r="K20" s="53">
        <f>ROUND(SUM(K18:K19),5)</f>
        <v>0</v>
      </c>
      <c r="L20" s="33"/>
      <c r="M20" s="63"/>
      <c r="N20" s="33"/>
      <c r="O20" s="53">
        <f>ROUND(SUM(O18:O19),5)</f>
        <v>0</v>
      </c>
      <c r="P20" s="33"/>
      <c r="Q20" s="53">
        <f>ROUND(SUM(G20:O20),5)</f>
        <v>30</v>
      </c>
    </row>
    <row r="21" spans="1:18" x14ac:dyDescent="0.25">
      <c r="A21" s="1"/>
      <c r="B21" s="1"/>
      <c r="C21" s="1"/>
      <c r="D21" s="1" t="s">
        <v>97</v>
      </c>
      <c r="E21" s="1"/>
      <c r="F21" s="1"/>
      <c r="G21" s="53"/>
      <c r="H21" s="33"/>
      <c r="I21" s="53"/>
      <c r="J21" s="33"/>
      <c r="K21" s="53"/>
      <c r="L21" s="33"/>
      <c r="M21" s="63"/>
      <c r="N21" s="33"/>
      <c r="O21" s="53"/>
      <c r="P21" s="33"/>
      <c r="Q21" s="53"/>
    </row>
    <row r="22" spans="1:18" ht="15.75" thickBot="1" x14ac:dyDescent="0.3">
      <c r="A22" s="1"/>
      <c r="B22" s="1"/>
      <c r="C22" s="1"/>
      <c r="D22" s="1"/>
      <c r="E22" s="1" t="s">
        <v>98</v>
      </c>
      <c r="F22" s="1"/>
      <c r="G22" s="54">
        <v>75</v>
      </c>
      <c r="H22" s="33"/>
      <c r="I22" s="54">
        <v>0</v>
      </c>
      <c r="J22" s="33"/>
      <c r="K22" s="54">
        <v>0</v>
      </c>
      <c r="L22" s="33"/>
      <c r="M22" s="64">
        <v>0</v>
      </c>
      <c r="N22" s="33"/>
      <c r="O22" s="54">
        <v>0</v>
      </c>
      <c r="P22" s="33"/>
      <c r="Q22" s="54">
        <f>ROUND(SUM(G22:O22),5)</f>
        <v>75</v>
      </c>
    </row>
    <row r="23" spans="1:18" x14ac:dyDescent="0.25">
      <c r="A23" s="1"/>
      <c r="B23" s="1"/>
      <c r="C23" s="1"/>
      <c r="D23" s="1" t="s">
        <v>99</v>
      </c>
      <c r="E23" s="1"/>
      <c r="F23" s="1"/>
      <c r="G23" s="53">
        <f>ROUND(SUM(G21:G22),5)</f>
        <v>75</v>
      </c>
      <c r="H23" s="33"/>
      <c r="I23" s="53">
        <f>ROUND(SUM(I21:I22),5)</f>
        <v>0</v>
      </c>
      <c r="J23" s="33"/>
      <c r="K23" s="53">
        <f>ROUND(SUM(K21:K22),5)</f>
        <v>0</v>
      </c>
      <c r="L23" s="33"/>
      <c r="M23" s="63"/>
      <c r="N23" s="33"/>
      <c r="O23" s="53">
        <f>ROUND(SUM(O21:O22),5)</f>
        <v>0</v>
      </c>
      <c r="P23" s="33"/>
      <c r="Q23" s="53">
        <f>ROUND(SUM(G23:O23),5)</f>
        <v>75</v>
      </c>
    </row>
    <row r="24" spans="1:18" x14ac:dyDescent="0.25">
      <c r="A24" s="1"/>
      <c r="B24" s="1"/>
      <c r="C24" s="1"/>
      <c r="D24" s="1" t="s">
        <v>68</v>
      </c>
      <c r="E24" s="1"/>
      <c r="F24" s="1"/>
      <c r="G24" s="53"/>
      <c r="H24" s="33"/>
      <c r="I24" s="53"/>
      <c r="J24" s="33"/>
      <c r="K24" s="53"/>
      <c r="L24" s="33"/>
      <c r="M24" s="63"/>
      <c r="N24" s="33"/>
      <c r="O24" s="53"/>
      <c r="P24" s="33"/>
      <c r="Q24" s="53"/>
    </row>
    <row r="25" spans="1:18" x14ac:dyDescent="0.25">
      <c r="A25" s="1"/>
      <c r="B25" s="1"/>
      <c r="C25" s="1"/>
      <c r="D25" s="1"/>
      <c r="E25" s="1" t="s">
        <v>100</v>
      </c>
      <c r="F25" s="1"/>
      <c r="G25" s="53">
        <v>10</v>
      </c>
      <c r="H25" s="33"/>
      <c r="I25" s="53">
        <v>0</v>
      </c>
      <c r="J25" s="33"/>
      <c r="K25" s="53">
        <v>0</v>
      </c>
      <c r="L25" s="33"/>
      <c r="M25" s="63">
        <v>0</v>
      </c>
      <c r="N25" s="33"/>
      <c r="O25" s="53">
        <v>0</v>
      </c>
      <c r="P25" s="33"/>
      <c r="Q25" s="53">
        <f>ROUND(SUM(G25:O25),5)</f>
        <v>10</v>
      </c>
    </row>
    <row r="26" spans="1:18" x14ac:dyDescent="0.25">
      <c r="A26" s="1"/>
      <c r="B26" s="1"/>
      <c r="C26" s="1"/>
      <c r="D26" s="1"/>
      <c r="E26" s="1" t="s">
        <v>69</v>
      </c>
      <c r="F26" s="1"/>
      <c r="G26" s="53">
        <v>126.45</v>
      </c>
      <c r="H26" s="33"/>
      <c r="I26" s="53">
        <v>0</v>
      </c>
      <c r="J26" s="33"/>
      <c r="K26" s="53">
        <v>0</v>
      </c>
      <c r="L26" s="33"/>
      <c r="M26" s="63"/>
      <c r="N26" s="33"/>
      <c r="O26" s="53">
        <v>0</v>
      </c>
      <c r="P26" s="33"/>
      <c r="Q26" s="53">
        <f>ROUND(SUM(G26:O26),5)</f>
        <v>126.45</v>
      </c>
    </row>
    <row r="27" spans="1:18" x14ac:dyDescent="0.25">
      <c r="A27" s="1"/>
      <c r="B27" s="1"/>
      <c r="C27" s="1"/>
      <c r="D27" s="1"/>
      <c r="E27" s="1" t="s">
        <v>70</v>
      </c>
      <c r="F27" s="1"/>
      <c r="G27" s="53">
        <v>0</v>
      </c>
      <c r="H27" s="33"/>
      <c r="I27" s="53">
        <v>0</v>
      </c>
      <c r="J27" s="33"/>
      <c r="K27" s="53">
        <v>0</v>
      </c>
      <c r="L27" s="33"/>
      <c r="M27" s="63"/>
      <c r="N27" s="33"/>
      <c r="O27" s="53">
        <v>0</v>
      </c>
      <c r="P27" s="33"/>
      <c r="Q27" s="53">
        <f>ROUND(SUM(G27:O27),5)</f>
        <v>0</v>
      </c>
    </row>
    <row r="28" spans="1:18" ht="15.75" thickBot="1" x14ac:dyDescent="0.3">
      <c r="A28" s="1"/>
      <c r="B28" s="1"/>
      <c r="C28" s="1"/>
      <c r="D28" s="1"/>
      <c r="E28" s="1" t="s">
        <v>101</v>
      </c>
      <c r="F28" s="1"/>
      <c r="G28" s="54">
        <v>800</v>
      </c>
      <c r="H28" s="33"/>
      <c r="I28" s="54">
        <v>0</v>
      </c>
      <c r="J28" s="33"/>
      <c r="K28" s="54">
        <v>0</v>
      </c>
      <c r="L28" s="33"/>
      <c r="M28" s="64"/>
      <c r="N28" s="33"/>
      <c r="O28" s="54">
        <v>0</v>
      </c>
      <c r="P28" s="33"/>
      <c r="Q28" s="54">
        <f>ROUND(SUM(G28:O28),5)</f>
        <v>800</v>
      </c>
      <c r="R28" s="60" t="s">
        <v>20</v>
      </c>
    </row>
    <row r="29" spans="1:18" x14ac:dyDescent="0.25">
      <c r="A29" s="1"/>
      <c r="B29" s="1"/>
      <c r="C29" s="1"/>
      <c r="D29" s="1" t="s">
        <v>71</v>
      </c>
      <c r="E29" s="1"/>
      <c r="F29" s="1"/>
      <c r="G29" s="53">
        <f>ROUND(G24+G26+G25+G28+G27,5)</f>
        <v>936.45</v>
      </c>
      <c r="H29" s="33"/>
      <c r="I29" s="53">
        <f>ROUND(I24+I26+I25+I28+I27,5)</f>
        <v>0</v>
      </c>
      <c r="J29" s="33"/>
      <c r="K29" s="53">
        <f>ROUND(K24+K26+K25+K28+K27,5)</f>
        <v>0</v>
      </c>
      <c r="L29" s="33"/>
      <c r="M29" s="63"/>
      <c r="N29" s="33"/>
      <c r="O29" s="53">
        <f>ROUND(O24+O26+O25+O28+O27,5)</f>
        <v>0</v>
      </c>
      <c r="P29" s="33"/>
      <c r="Q29" s="53">
        <f>ROUND(SUM(G29:O29),5)</f>
        <v>936.45</v>
      </c>
    </row>
    <row r="30" spans="1:18" x14ac:dyDescent="0.25">
      <c r="A30" s="1"/>
      <c r="B30" s="1"/>
      <c r="C30" s="1"/>
      <c r="D30" s="1" t="s">
        <v>65</v>
      </c>
      <c r="E30" s="1"/>
      <c r="F30" s="1"/>
      <c r="G30" s="53"/>
      <c r="H30" s="33"/>
      <c r="I30" s="53"/>
      <c r="J30" s="33"/>
      <c r="K30" s="53"/>
      <c r="L30" s="33"/>
      <c r="M30" s="63"/>
      <c r="N30" s="33"/>
      <c r="O30" s="53"/>
      <c r="P30" s="33"/>
      <c r="Q30" s="53"/>
    </row>
    <row r="31" spans="1:18" x14ac:dyDescent="0.25">
      <c r="A31" s="1"/>
      <c r="B31" s="1"/>
      <c r="C31" s="1"/>
      <c r="D31" s="1"/>
      <c r="E31" s="1" t="s">
        <v>66</v>
      </c>
      <c r="F31" s="1"/>
      <c r="G31" s="53">
        <f>20*20*12</f>
        <v>4800</v>
      </c>
      <c r="H31" s="33"/>
      <c r="I31" s="53">
        <v>0</v>
      </c>
      <c r="J31" s="33"/>
      <c r="K31" s="53">
        <v>0</v>
      </c>
      <c r="L31" s="33"/>
      <c r="M31" s="63"/>
      <c r="N31" s="33"/>
      <c r="O31" s="53">
        <v>0</v>
      </c>
      <c r="P31" s="33"/>
      <c r="Q31" s="53">
        <f>ROUND(SUM(G31:O31),5)</f>
        <v>4800</v>
      </c>
      <c r="R31" s="60" t="s">
        <v>21</v>
      </c>
    </row>
    <row r="32" spans="1:18" ht="15.75" thickBot="1" x14ac:dyDescent="0.3">
      <c r="A32" s="1"/>
      <c r="B32" s="1"/>
      <c r="C32" s="1"/>
      <c r="D32" s="1"/>
      <c r="E32" s="1" t="s">
        <v>102</v>
      </c>
      <c r="F32" s="1"/>
      <c r="G32" s="54">
        <v>2600</v>
      </c>
      <c r="H32" s="33"/>
      <c r="I32" s="54">
        <v>0</v>
      </c>
      <c r="J32" s="33"/>
      <c r="K32" s="54">
        <v>0</v>
      </c>
      <c r="L32" s="33"/>
      <c r="M32" s="64"/>
      <c r="N32" s="33"/>
      <c r="O32" s="54">
        <v>0</v>
      </c>
      <c r="P32" s="33"/>
      <c r="Q32" s="54">
        <f>ROUND(SUM(G32:O32),5)</f>
        <v>2600</v>
      </c>
    </row>
    <row r="33" spans="1:18" x14ac:dyDescent="0.25">
      <c r="A33" s="1"/>
      <c r="B33" s="1"/>
      <c r="C33" s="1"/>
      <c r="D33" s="1" t="s">
        <v>67</v>
      </c>
      <c r="E33" s="1"/>
      <c r="F33" s="1"/>
      <c r="G33" s="53">
        <f>ROUND(G30+G32+G31,5)</f>
        <v>7400</v>
      </c>
      <c r="H33" s="33"/>
      <c r="I33" s="53">
        <f>ROUND(I30+I32+I31,5)</f>
        <v>0</v>
      </c>
      <c r="J33" s="33"/>
      <c r="K33" s="53">
        <f>ROUND(K30+K32+K31,5)</f>
        <v>0</v>
      </c>
      <c r="L33" s="33"/>
      <c r="M33" s="63"/>
      <c r="N33" s="33"/>
      <c r="O33" s="53">
        <f>ROUND(O30+O32+O31,5)</f>
        <v>0</v>
      </c>
      <c r="P33" s="33"/>
      <c r="Q33" s="53">
        <f>ROUND(SUM(G33:O33),5)</f>
        <v>7400</v>
      </c>
    </row>
    <row r="34" spans="1:18" x14ac:dyDescent="0.25">
      <c r="A34" s="1"/>
      <c r="B34" s="1"/>
      <c r="C34" s="1"/>
      <c r="D34" s="1" t="s">
        <v>72</v>
      </c>
      <c r="E34" s="1"/>
      <c r="F34" s="1"/>
      <c r="G34" s="53"/>
      <c r="H34" s="33"/>
      <c r="I34" s="53"/>
      <c r="J34" s="33"/>
      <c r="K34" s="53"/>
      <c r="L34" s="33"/>
      <c r="M34" s="63"/>
      <c r="N34" s="33"/>
      <c r="O34" s="53"/>
      <c r="P34" s="33"/>
      <c r="Q34" s="53"/>
    </row>
    <row r="35" spans="1:18" x14ac:dyDescent="0.25">
      <c r="A35" s="1"/>
      <c r="B35" s="1"/>
      <c r="C35" s="1"/>
      <c r="D35" s="1"/>
      <c r="E35" s="1" t="s">
        <v>77</v>
      </c>
      <c r="F35" s="1"/>
      <c r="G35" s="53">
        <v>20</v>
      </c>
      <c r="H35" s="33"/>
      <c r="I35" s="53">
        <f>300*0.5</f>
        <v>150</v>
      </c>
      <c r="J35" s="33"/>
      <c r="K35" s="53">
        <v>65</v>
      </c>
      <c r="L35" s="33"/>
      <c r="M35" s="63">
        <v>65</v>
      </c>
      <c r="N35" s="33"/>
      <c r="O35" s="53">
        <v>0</v>
      </c>
      <c r="P35" s="33"/>
      <c r="Q35" s="53">
        <f t="shared" ref="Q35:Q47" si="4">ROUND(SUM(G35:O35),5)</f>
        <v>300</v>
      </c>
      <c r="R35" s="60" t="s">
        <v>22</v>
      </c>
    </row>
    <row r="36" spans="1:18" x14ac:dyDescent="0.25">
      <c r="A36" s="1"/>
      <c r="B36" s="1"/>
      <c r="C36" s="1"/>
      <c r="D36" s="1"/>
      <c r="E36" s="1" t="s">
        <v>103</v>
      </c>
      <c r="F36" s="1"/>
      <c r="G36" s="53">
        <v>0</v>
      </c>
      <c r="H36" s="33"/>
      <c r="I36" s="53">
        <v>300</v>
      </c>
      <c r="J36" s="33"/>
      <c r="K36" s="53">
        <v>150</v>
      </c>
      <c r="M36" s="63">
        <v>150</v>
      </c>
      <c r="N36" s="33"/>
      <c r="O36" s="53">
        <v>0</v>
      </c>
      <c r="P36" s="33"/>
      <c r="Q36" s="53">
        <f t="shared" si="4"/>
        <v>600</v>
      </c>
    </row>
    <row r="37" spans="1:18" x14ac:dyDescent="0.25">
      <c r="A37" s="1"/>
      <c r="B37" s="1"/>
      <c r="C37" s="1"/>
      <c r="D37" s="1"/>
      <c r="E37" s="1" t="s">
        <v>0</v>
      </c>
      <c r="F37" s="1"/>
      <c r="G37" s="53">
        <v>0</v>
      </c>
      <c r="H37" s="33"/>
      <c r="I37" s="53">
        <v>400</v>
      </c>
      <c r="J37" s="33"/>
      <c r="K37" s="53">
        <v>400</v>
      </c>
      <c r="L37" s="33"/>
      <c r="M37" s="63">
        <v>400</v>
      </c>
      <c r="N37" s="33"/>
      <c r="O37" s="53">
        <v>0</v>
      </c>
      <c r="P37" s="33"/>
      <c r="Q37" s="53">
        <f t="shared" si="4"/>
        <v>1200</v>
      </c>
    </row>
    <row r="38" spans="1:18" x14ac:dyDescent="0.25">
      <c r="A38" s="1"/>
      <c r="B38" s="1"/>
      <c r="C38" s="1"/>
      <c r="D38" s="1"/>
      <c r="E38" s="1" t="s">
        <v>1</v>
      </c>
      <c r="F38" s="1"/>
      <c r="G38" s="53">
        <v>0</v>
      </c>
      <c r="H38" s="33"/>
      <c r="I38" s="53">
        <v>300.57</v>
      </c>
      <c r="J38" s="33"/>
      <c r="K38" s="53">
        <v>160</v>
      </c>
      <c r="L38" s="33"/>
      <c r="M38" s="63">
        <v>160</v>
      </c>
      <c r="N38" s="33"/>
      <c r="O38" s="53">
        <v>0</v>
      </c>
      <c r="P38" s="33"/>
      <c r="Q38" s="53">
        <f t="shared" si="4"/>
        <v>620.57000000000005</v>
      </c>
    </row>
    <row r="39" spans="1:18" x14ac:dyDescent="0.25">
      <c r="A39" s="1"/>
      <c r="B39" s="1"/>
      <c r="C39" s="1"/>
      <c r="D39" s="1"/>
      <c r="E39" s="1" t="s">
        <v>79</v>
      </c>
      <c r="F39" s="1"/>
      <c r="G39" s="53">
        <v>0</v>
      </c>
      <c r="H39" s="33"/>
      <c r="I39" s="53">
        <v>600</v>
      </c>
      <c r="J39" s="33"/>
      <c r="K39" s="53">
        <v>300</v>
      </c>
      <c r="L39" s="33"/>
      <c r="M39" s="63">
        <v>300</v>
      </c>
      <c r="N39" s="33"/>
      <c r="O39" s="53">
        <v>0</v>
      </c>
      <c r="P39" s="33"/>
      <c r="Q39" s="53">
        <f t="shared" si="4"/>
        <v>1200</v>
      </c>
    </row>
    <row r="40" spans="1:18" x14ac:dyDescent="0.25">
      <c r="A40" s="1"/>
      <c r="B40" s="1"/>
      <c r="C40" s="1"/>
      <c r="D40" s="1"/>
      <c r="E40" s="1" t="s">
        <v>2</v>
      </c>
      <c r="F40" s="1"/>
      <c r="G40" s="53">
        <v>0</v>
      </c>
      <c r="H40" s="33"/>
      <c r="I40" s="53">
        <v>550</v>
      </c>
      <c r="J40" s="33"/>
      <c r="K40" s="53">
        <v>0</v>
      </c>
      <c r="L40" s="33"/>
      <c r="M40" s="63">
        <v>0</v>
      </c>
      <c r="N40" s="33"/>
      <c r="O40" s="53">
        <v>0</v>
      </c>
      <c r="P40" s="33"/>
      <c r="Q40" s="53">
        <f t="shared" si="4"/>
        <v>550</v>
      </c>
    </row>
    <row r="41" spans="1:18" x14ac:dyDescent="0.25">
      <c r="A41" s="1"/>
      <c r="B41" s="1"/>
      <c r="C41" s="1"/>
      <c r="D41" s="1"/>
      <c r="E41" s="1" t="s">
        <v>78</v>
      </c>
      <c r="F41" s="1"/>
      <c r="G41" s="53">
        <v>0</v>
      </c>
      <c r="H41" s="33"/>
      <c r="I41" s="53">
        <v>1000</v>
      </c>
      <c r="J41" s="33"/>
      <c r="K41" s="53">
        <v>600</v>
      </c>
      <c r="L41" s="33"/>
      <c r="M41" s="63">
        <v>600</v>
      </c>
      <c r="N41" s="33"/>
      <c r="O41" s="53">
        <v>0</v>
      </c>
      <c r="P41" s="33"/>
      <c r="Q41" s="53">
        <f t="shared" si="4"/>
        <v>2200</v>
      </c>
      <c r="R41" s="60" t="s">
        <v>23</v>
      </c>
    </row>
    <row r="42" spans="1:18" x14ac:dyDescent="0.25">
      <c r="A42" s="1"/>
      <c r="B42" s="1"/>
      <c r="C42" s="1"/>
      <c r="D42" s="1"/>
      <c r="E42" s="1" t="s">
        <v>76</v>
      </c>
      <c r="F42" s="1"/>
      <c r="G42" s="53">
        <f>55*12</f>
        <v>660</v>
      </c>
      <c r="H42" s="33"/>
      <c r="I42" s="53">
        <v>0</v>
      </c>
      <c r="J42" s="33"/>
      <c r="K42" s="53">
        <v>0</v>
      </c>
      <c r="L42" s="33"/>
      <c r="M42" s="63">
        <v>0</v>
      </c>
      <c r="N42" s="33"/>
      <c r="O42" s="53">
        <v>0</v>
      </c>
      <c r="P42" s="33"/>
      <c r="Q42" s="53">
        <f t="shared" si="4"/>
        <v>660</v>
      </c>
    </row>
    <row r="43" spans="1:18" x14ac:dyDescent="0.25">
      <c r="A43" s="1"/>
      <c r="B43" s="1"/>
      <c r="C43" s="1"/>
      <c r="D43" s="1"/>
      <c r="E43" s="1" t="s">
        <v>3</v>
      </c>
      <c r="F43" s="1"/>
      <c r="G43" s="53">
        <v>0</v>
      </c>
      <c r="H43" s="33"/>
      <c r="I43" s="53">
        <v>900</v>
      </c>
      <c r="J43" s="33"/>
      <c r="K43" s="53">
        <v>0</v>
      </c>
      <c r="L43" s="33"/>
      <c r="M43" s="63">
        <v>0</v>
      </c>
      <c r="N43" s="33"/>
      <c r="O43" s="53">
        <v>0</v>
      </c>
      <c r="P43" s="33"/>
      <c r="Q43" s="53">
        <f t="shared" si="4"/>
        <v>900</v>
      </c>
      <c r="R43" s="60" t="s">
        <v>24</v>
      </c>
    </row>
    <row r="44" spans="1:18" x14ac:dyDescent="0.25">
      <c r="A44" s="1"/>
      <c r="B44" s="1"/>
      <c r="C44" s="1"/>
      <c r="D44" s="1"/>
      <c r="E44" s="1" t="s">
        <v>4</v>
      </c>
      <c r="F44" s="1"/>
      <c r="G44" s="53">
        <v>0</v>
      </c>
      <c r="H44" s="33"/>
      <c r="I44" s="53">
        <v>0</v>
      </c>
      <c r="J44" s="33"/>
      <c r="K44" s="53">
        <v>0</v>
      </c>
      <c r="L44" s="33"/>
      <c r="M44" s="63">
        <v>0</v>
      </c>
      <c r="N44" s="33"/>
      <c r="O44" s="53">
        <v>0</v>
      </c>
      <c r="P44" s="33"/>
      <c r="Q44" s="53">
        <f t="shared" si="4"/>
        <v>0</v>
      </c>
    </row>
    <row r="45" spans="1:18" x14ac:dyDescent="0.25">
      <c r="A45" s="1"/>
      <c r="B45" s="1"/>
      <c r="C45" s="1"/>
      <c r="D45" s="1"/>
      <c r="E45" s="1" t="s">
        <v>83</v>
      </c>
      <c r="F45" s="1"/>
      <c r="G45" s="53">
        <v>0</v>
      </c>
      <c r="H45" s="33"/>
      <c r="I45" s="53">
        <v>1400</v>
      </c>
      <c r="J45" s="33"/>
      <c r="K45" s="53">
        <v>1200</v>
      </c>
      <c r="L45" s="33"/>
      <c r="M45" s="63">
        <v>1200</v>
      </c>
      <c r="N45" s="33"/>
      <c r="O45" s="53">
        <v>0</v>
      </c>
      <c r="P45" s="33"/>
      <c r="Q45" s="53">
        <f t="shared" si="4"/>
        <v>3800</v>
      </c>
    </row>
    <row r="46" spans="1:18" x14ac:dyDescent="0.25">
      <c r="A46" s="1"/>
      <c r="B46" s="1"/>
      <c r="C46" s="1"/>
      <c r="D46" s="1"/>
      <c r="E46" s="1" t="s">
        <v>80</v>
      </c>
      <c r="F46" s="1"/>
      <c r="G46" s="53">
        <v>0</v>
      </c>
      <c r="H46" s="33"/>
      <c r="I46" s="53">
        <v>4500</v>
      </c>
      <c r="J46" s="33"/>
      <c r="K46" s="53">
        <v>1100</v>
      </c>
      <c r="L46" s="33"/>
      <c r="M46" s="63">
        <v>1100</v>
      </c>
      <c r="N46" s="33"/>
      <c r="O46" s="53">
        <v>0</v>
      </c>
      <c r="P46" s="33"/>
      <c r="Q46" s="53">
        <f t="shared" si="4"/>
        <v>6700</v>
      </c>
    </row>
    <row r="47" spans="1:18" x14ac:dyDescent="0.25">
      <c r="A47" s="1"/>
      <c r="B47" s="1"/>
      <c r="C47" s="1"/>
      <c r="D47" s="1"/>
      <c r="E47" s="1" t="s">
        <v>82</v>
      </c>
      <c r="F47" s="1"/>
      <c r="G47" s="53">
        <v>0</v>
      </c>
      <c r="H47" s="33"/>
      <c r="I47" s="53">
        <v>4000</v>
      </c>
      <c r="J47" s="33"/>
      <c r="K47" s="53">
        <v>1500</v>
      </c>
      <c r="L47" s="33"/>
      <c r="M47" s="63">
        <v>1500</v>
      </c>
      <c r="N47" s="33"/>
      <c r="O47" s="53">
        <v>0</v>
      </c>
      <c r="P47" s="33"/>
      <c r="Q47" s="53">
        <f t="shared" si="4"/>
        <v>7000</v>
      </c>
    </row>
    <row r="48" spans="1:18" x14ac:dyDescent="0.25">
      <c r="A48" s="1"/>
      <c r="B48" s="1"/>
      <c r="C48" s="1"/>
      <c r="D48" s="1"/>
      <c r="E48" s="1" t="s">
        <v>73</v>
      </c>
      <c r="F48" s="1"/>
      <c r="G48" s="53"/>
      <c r="H48" s="33"/>
      <c r="I48" s="53"/>
      <c r="J48" s="33"/>
      <c r="K48" s="53"/>
      <c r="L48" s="33"/>
      <c r="M48" s="63"/>
      <c r="N48" s="33"/>
      <c r="O48" s="53"/>
      <c r="P48" s="33"/>
      <c r="Q48" s="53"/>
    </row>
    <row r="49" spans="1:19" x14ac:dyDescent="0.25">
      <c r="A49" s="1"/>
      <c r="B49" s="1"/>
      <c r="C49" s="1"/>
      <c r="D49" s="1"/>
      <c r="E49" s="1"/>
      <c r="F49" s="1" t="s">
        <v>74</v>
      </c>
      <c r="G49" s="53">
        <v>900</v>
      </c>
      <c r="H49" s="33"/>
      <c r="I49" s="53">
        <v>0</v>
      </c>
      <c r="J49" s="33"/>
      <c r="K49" s="53">
        <v>0</v>
      </c>
      <c r="L49" s="33"/>
      <c r="M49" s="63"/>
      <c r="N49" s="33"/>
      <c r="O49" s="53">
        <v>0</v>
      </c>
      <c r="P49" s="33"/>
      <c r="Q49" s="53">
        <f t="shared" ref="Q49:Q57" si="5">ROUND(SUM(G49:O49),5)</f>
        <v>900</v>
      </c>
    </row>
    <row r="50" spans="1:19" ht="15.75" thickBot="1" x14ac:dyDescent="0.3">
      <c r="A50" s="1"/>
      <c r="B50" s="1"/>
      <c r="C50" s="1"/>
      <c r="D50" s="1"/>
      <c r="E50" s="1"/>
      <c r="F50" s="1" t="s">
        <v>5</v>
      </c>
      <c r="G50" s="54">
        <v>7500</v>
      </c>
      <c r="H50" s="33"/>
      <c r="I50" s="54">
        <v>0</v>
      </c>
      <c r="J50" s="33"/>
      <c r="K50" s="54">
        <v>0</v>
      </c>
      <c r="L50" s="33"/>
      <c r="M50" s="64"/>
      <c r="N50" s="33"/>
      <c r="O50" s="54">
        <v>0</v>
      </c>
      <c r="P50" s="33"/>
      <c r="Q50" s="54">
        <f t="shared" si="5"/>
        <v>7500</v>
      </c>
    </row>
    <row r="51" spans="1:19" x14ac:dyDescent="0.25">
      <c r="A51" s="1"/>
      <c r="B51" s="1"/>
      <c r="C51" s="1"/>
      <c r="D51" s="1"/>
      <c r="E51" s="1" t="s">
        <v>75</v>
      </c>
      <c r="F51" s="1"/>
      <c r="G51" s="53">
        <f>ROUND(SUM(G48:G50),5)</f>
        <v>8400</v>
      </c>
      <c r="H51" s="33"/>
      <c r="I51" s="53">
        <f>ROUND(SUM(I48:I50),5)</f>
        <v>0</v>
      </c>
      <c r="J51" s="33"/>
      <c r="K51" s="53">
        <f>ROUND(SUM(K48:K50),5)</f>
        <v>0</v>
      </c>
      <c r="L51" s="33"/>
      <c r="M51" s="63"/>
      <c r="N51" s="33"/>
      <c r="O51" s="53">
        <f>ROUND(SUM(O48:O50),5)</f>
        <v>0</v>
      </c>
      <c r="P51" s="33"/>
      <c r="Q51" s="53">
        <f t="shared" si="5"/>
        <v>8400</v>
      </c>
    </row>
    <row r="52" spans="1:19" x14ac:dyDescent="0.25">
      <c r="A52" s="1"/>
      <c r="B52" s="1"/>
      <c r="C52" s="1"/>
      <c r="D52" s="1"/>
      <c r="E52" s="1" t="s">
        <v>84</v>
      </c>
      <c r="F52" s="1"/>
      <c r="G52" s="53">
        <v>150</v>
      </c>
      <c r="H52" s="33"/>
      <c r="I52" s="53">
        <v>5000</v>
      </c>
      <c r="J52" s="33"/>
      <c r="K52" s="53">
        <v>2000</v>
      </c>
      <c r="M52" s="53">
        <v>2000</v>
      </c>
      <c r="N52" s="33"/>
      <c r="O52" s="53">
        <v>0</v>
      </c>
      <c r="P52" s="33"/>
      <c r="Q52" s="53">
        <f t="shared" si="5"/>
        <v>9150</v>
      </c>
    </row>
    <row r="53" spans="1:19" ht="15.75" thickBot="1" x14ac:dyDescent="0.3">
      <c r="A53" s="1"/>
      <c r="B53" s="1"/>
      <c r="C53" s="1"/>
      <c r="D53" s="1"/>
      <c r="E53" s="1" t="s">
        <v>85</v>
      </c>
      <c r="F53" s="1"/>
      <c r="G53" s="55">
        <v>0</v>
      </c>
      <c r="H53" s="33"/>
      <c r="I53" s="55">
        <v>72000</v>
      </c>
      <c r="J53" s="33"/>
      <c r="K53" s="55">
        <f>100*400</f>
        <v>40000</v>
      </c>
      <c r="L53" s="33"/>
      <c r="M53" s="63">
        <f>K53</f>
        <v>40000</v>
      </c>
      <c r="N53" s="33"/>
      <c r="O53" s="55">
        <v>0</v>
      </c>
      <c r="P53" s="33"/>
      <c r="Q53" s="55">
        <f t="shared" si="5"/>
        <v>152000</v>
      </c>
      <c r="R53" s="60" t="s">
        <v>25</v>
      </c>
    </row>
    <row r="54" spans="1:19" ht="15.75" thickBot="1" x14ac:dyDescent="0.3">
      <c r="A54" s="1"/>
      <c r="B54" s="1"/>
      <c r="C54" s="1"/>
      <c r="D54" s="1" t="s">
        <v>86</v>
      </c>
      <c r="E54" s="1"/>
      <c r="F54" s="1"/>
      <c r="G54" s="56">
        <f>ROUND(G34+G53+G45+G44+G37+G40+G47+G41+G39+G38+G35+G46+G51+G36+G43+G42+G52,5)</f>
        <v>9230</v>
      </c>
      <c r="H54" s="33"/>
      <c r="I54" s="56">
        <f>ROUND(I34+I53+I45+I44+I37+I40+I47+I41+I39+I38+I35+I46+I51+I36+I43+I42+I52,5)</f>
        <v>91100.57</v>
      </c>
      <c r="J54" s="33"/>
      <c r="K54" s="56">
        <f>ROUND(K34+K53+K45+K44+K37+K40+K47+K41+K39+K38+K35+K46+K51+K36+K43+K42+K52,5)</f>
        <v>47475</v>
      </c>
      <c r="L54" s="56">
        <f t="shared" ref="L54:M54" si="6">ROUND(L34+L53+L45+L44+L37+L40+L47+L41+L39+L38+L35+L46+L51+L36+L43+L42+L52,5)</f>
        <v>0</v>
      </c>
      <c r="M54" s="56">
        <f t="shared" si="6"/>
        <v>47475</v>
      </c>
      <c r="N54" s="33"/>
      <c r="O54" s="56">
        <f>ROUND(O34+O53+O45+O44+O37+O40+O47+O41+O39+O38+O35+O46+O51+O36+O43+O42+O52,5)</f>
        <v>0</v>
      </c>
      <c r="P54" s="33"/>
      <c r="Q54" s="56">
        <f t="shared" si="5"/>
        <v>195280.57</v>
      </c>
      <c r="S54">
        <f>45107/120</f>
        <v>375.89166666666665</v>
      </c>
    </row>
    <row r="55" spans="1:19" ht="15.75" thickBot="1" x14ac:dyDescent="0.3">
      <c r="A55" s="1"/>
      <c r="B55" s="1"/>
      <c r="C55" s="1" t="s">
        <v>87</v>
      </c>
      <c r="D55" s="1"/>
      <c r="E55" s="1"/>
      <c r="F55" s="1"/>
      <c r="G55" s="56">
        <f>ROUND(G17+G29+G33+G20+G54+G23,5)</f>
        <v>17671.45</v>
      </c>
      <c r="H55" s="33"/>
      <c r="I55" s="56">
        <f>ROUND(I17+I29+I33+I20+I54+I23,5)</f>
        <v>91100.57</v>
      </c>
      <c r="J55" s="33"/>
      <c r="K55" s="56">
        <f>ROUND(K17+K29+K33+K20+K54+K23,5)</f>
        <v>47475</v>
      </c>
      <c r="L55" s="56">
        <f t="shared" ref="L55:M55" si="7">ROUND(L17+L29+L33+L20+L54+L23,5)</f>
        <v>0</v>
      </c>
      <c r="M55" s="56">
        <f t="shared" si="7"/>
        <v>47475</v>
      </c>
      <c r="N55" s="33"/>
      <c r="O55" s="56">
        <f>ROUND(O17+O29+O33+O20+O54+O23,5)</f>
        <v>0</v>
      </c>
      <c r="P55" s="33"/>
      <c r="Q55" s="56">
        <f t="shared" si="5"/>
        <v>203722.02</v>
      </c>
    </row>
    <row r="56" spans="1:19" ht="15.75" thickBot="1" x14ac:dyDescent="0.3">
      <c r="A56" s="1"/>
      <c r="B56" s="1" t="s">
        <v>88</v>
      </c>
      <c r="C56" s="1"/>
      <c r="D56" s="1"/>
      <c r="E56" s="1"/>
      <c r="F56" s="1"/>
      <c r="G56" s="56">
        <f>ROUND(G2+G16-G55,5)</f>
        <v>-17241.45</v>
      </c>
      <c r="H56" s="33"/>
      <c r="I56" s="56">
        <f>ROUND(I2+I16-I55,5)</f>
        <v>26399.43</v>
      </c>
      <c r="J56" s="33"/>
      <c r="K56" s="56">
        <f>ROUND(K2+K16-K55,5)</f>
        <v>-7475</v>
      </c>
      <c r="L56" s="56">
        <f t="shared" ref="L56:M56" si="8">ROUND(L2+L16-L55,5)</f>
        <v>0</v>
      </c>
      <c r="M56" s="56">
        <f t="shared" si="8"/>
        <v>-7475</v>
      </c>
      <c r="N56" s="33"/>
      <c r="O56" s="56">
        <f>ROUND(O2+O16-O55,5)</f>
        <v>0</v>
      </c>
      <c r="P56" s="33"/>
      <c r="Q56" s="56">
        <f t="shared" si="5"/>
        <v>-5792.02</v>
      </c>
    </row>
    <row r="57" spans="1:19" ht="15.75" thickBot="1" x14ac:dyDescent="0.3">
      <c r="A57" s="1" t="s">
        <v>105</v>
      </c>
      <c r="B57" s="1"/>
      <c r="C57" s="1"/>
      <c r="D57" s="1"/>
      <c r="E57" s="1"/>
      <c r="F57" s="1"/>
      <c r="G57" s="58">
        <f>G56</f>
        <v>-17241.45</v>
      </c>
      <c r="H57" s="1"/>
      <c r="I57" s="58">
        <f>I56</f>
        <v>26399.43</v>
      </c>
      <c r="J57" s="1"/>
      <c r="K57" s="58">
        <f>K56</f>
        <v>-7475</v>
      </c>
      <c r="L57" s="58">
        <f t="shared" ref="L57:M57" si="9">L56</f>
        <v>0</v>
      </c>
      <c r="M57" s="58">
        <f t="shared" si="9"/>
        <v>-7475</v>
      </c>
      <c r="N57" s="1"/>
      <c r="O57" s="58">
        <f>O56</f>
        <v>0</v>
      </c>
      <c r="P57" s="1"/>
      <c r="Q57" s="58">
        <f t="shared" si="5"/>
        <v>-5792.02</v>
      </c>
    </row>
    <row r="58" spans="1:19" ht="15.75" thickTop="1" x14ac:dyDescent="0.25">
      <c r="A58" s="1"/>
      <c r="B58" s="1"/>
      <c r="C58" s="1"/>
      <c r="D58" s="1"/>
      <c r="E58" s="1"/>
      <c r="F58" s="1"/>
      <c r="G58" s="59"/>
      <c r="H58" s="1"/>
      <c r="I58" s="59"/>
      <c r="J58" s="1"/>
      <c r="K58" s="59"/>
      <c r="L58" s="1"/>
      <c r="M58" s="68"/>
      <c r="N58" s="1"/>
      <c r="O58" s="59"/>
      <c r="P58" s="1"/>
      <c r="Q58" s="59"/>
    </row>
    <row r="59" spans="1:19" x14ac:dyDescent="0.25">
      <c r="A59" s="1"/>
      <c r="B59" s="1"/>
      <c r="C59" s="1"/>
      <c r="D59" s="1"/>
      <c r="E59" s="1" t="s">
        <v>15</v>
      </c>
      <c r="G59" s="59"/>
      <c r="H59" s="1"/>
      <c r="I59" s="59"/>
      <c r="J59" s="1"/>
      <c r="K59" s="59"/>
      <c r="L59" s="1"/>
      <c r="M59" s="68"/>
      <c r="N59" s="1"/>
      <c r="O59" s="59"/>
      <c r="P59" s="1"/>
      <c r="Q59" s="59"/>
    </row>
    <row r="60" spans="1:19" x14ac:dyDescent="0.25">
      <c r="A60" s="12"/>
      <c r="B60" s="12"/>
      <c r="C60" s="12"/>
      <c r="D60" s="12"/>
      <c r="E60" s="12"/>
      <c r="F60" s="12" t="s">
        <v>16</v>
      </c>
      <c r="G60" s="13"/>
      <c r="H60" s="13"/>
      <c r="I60" s="13">
        <v>240</v>
      </c>
      <c r="J60" s="13"/>
      <c r="K60" s="13">
        <v>100</v>
      </c>
      <c r="L60" s="13"/>
      <c r="M60" s="13">
        <v>100</v>
      </c>
      <c r="N60" s="13"/>
      <c r="O60" s="13"/>
      <c r="P60" s="13"/>
      <c r="Q60" s="13"/>
    </row>
    <row r="61" spans="1:19" x14ac:dyDescent="0.25">
      <c r="A61" s="12"/>
      <c r="B61" s="12"/>
      <c r="C61" s="12"/>
      <c r="D61" s="12"/>
      <c r="E61" s="12"/>
      <c r="F61" s="12" t="s">
        <v>18</v>
      </c>
      <c r="G61" s="13"/>
      <c r="H61" s="13"/>
      <c r="I61" s="13">
        <v>500</v>
      </c>
      <c r="J61" s="13"/>
      <c r="K61" s="13">
        <v>500</v>
      </c>
      <c r="L61" s="13"/>
      <c r="M61" s="13">
        <v>500</v>
      </c>
      <c r="N61" s="13"/>
      <c r="O61" s="13"/>
      <c r="P61" s="13"/>
      <c r="Q61" s="13"/>
    </row>
    <row r="62" spans="1:19" ht="15.75" thickBot="1" x14ac:dyDescent="0.3">
      <c r="A62" s="12"/>
      <c r="B62" s="12"/>
      <c r="C62" s="12"/>
      <c r="D62" s="12"/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9" ht="30" x14ac:dyDescent="0.25">
      <c r="A63" s="12"/>
      <c r="B63" s="12"/>
      <c r="C63" s="12"/>
      <c r="D63" s="12"/>
      <c r="E63" s="12"/>
      <c r="F63" s="72" t="s">
        <v>27</v>
      </c>
      <c r="G63" s="16"/>
      <c r="H63" s="73"/>
      <c r="I63" s="16"/>
      <c r="J63" s="74"/>
      <c r="K63" s="75" t="s">
        <v>12</v>
      </c>
      <c r="L63" s="13"/>
      <c r="N63" s="13"/>
      <c r="O63" s="13"/>
      <c r="P63" s="13"/>
      <c r="Q63" s="13"/>
    </row>
    <row r="64" spans="1:19" x14ac:dyDescent="0.25">
      <c r="A64" s="12"/>
      <c r="B64" s="12"/>
      <c r="C64" s="12"/>
      <c r="D64" s="12"/>
      <c r="E64" s="12"/>
      <c r="F64" s="20"/>
      <c r="G64" s="41" t="s">
        <v>10</v>
      </c>
      <c r="H64" s="71"/>
      <c r="I64" s="42" t="s">
        <v>11</v>
      </c>
      <c r="J64" s="71"/>
      <c r="K64" s="46"/>
      <c r="L64" s="13"/>
      <c r="N64" s="13"/>
      <c r="O64" s="13"/>
      <c r="P64" s="13"/>
      <c r="Q64" s="13"/>
    </row>
    <row r="65" spans="1:17" x14ac:dyDescent="0.25">
      <c r="A65" s="12"/>
      <c r="B65" s="12"/>
      <c r="C65" s="12"/>
      <c r="D65" s="12"/>
      <c r="E65" s="12"/>
      <c r="F65" s="18" t="s">
        <v>158</v>
      </c>
      <c r="G65" s="28">
        <f>54547.35/120</f>
        <v>454.56124999999997</v>
      </c>
      <c r="H65" s="71"/>
      <c r="I65" s="28">
        <f>90391.79/240</f>
        <v>376.63245833333332</v>
      </c>
      <c r="J65" s="71"/>
      <c r="K65" s="47">
        <f>((I65*2)+G65)/3</f>
        <v>402.60872222222224</v>
      </c>
      <c r="L65" s="13"/>
      <c r="N65" s="13"/>
      <c r="O65" s="13"/>
      <c r="P65" s="13"/>
      <c r="Q65" s="13"/>
    </row>
    <row r="66" spans="1:17" x14ac:dyDescent="0.25">
      <c r="A66" s="12"/>
      <c r="B66" s="12"/>
      <c r="C66" s="12"/>
      <c r="D66" s="12"/>
      <c r="E66" s="12"/>
      <c r="F66" s="27" t="s">
        <v>159</v>
      </c>
      <c r="G66" s="70">
        <f>17131.84/360</f>
        <v>47.588444444444448</v>
      </c>
      <c r="H66" s="71"/>
      <c r="I66" s="70">
        <f>17131.84/360</f>
        <v>47.588444444444448</v>
      </c>
      <c r="J66" s="71"/>
      <c r="K66" s="76">
        <f>I66</f>
        <v>47.588444444444448</v>
      </c>
      <c r="L66" s="13"/>
      <c r="N66" s="13"/>
      <c r="O66" s="13"/>
      <c r="P66" s="13"/>
      <c r="Q66" s="13"/>
    </row>
    <row r="67" spans="1:17" ht="16.5" x14ac:dyDescent="0.35">
      <c r="A67" s="12"/>
      <c r="B67" s="12"/>
      <c r="C67" s="12"/>
      <c r="D67" s="12"/>
      <c r="E67" s="12"/>
      <c r="F67" s="20"/>
      <c r="G67" s="29">
        <f>SUM(G65:G66)</f>
        <v>502.14969444444444</v>
      </c>
      <c r="H67" s="71"/>
      <c r="I67" s="29">
        <f>SUM(I65:I66)</f>
        <v>424.22090277777778</v>
      </c>
      <c r="J67" s="71"/>
      <c r="K67" s="49">
        <f>SUM(K65:K66)</f>
        <v>450.1971666666667</v>
      </c>
      <c r="L67" s="13"/>
      <c r="N67" s="13"/>
      <c r="O67" s="13"/>
      <c r="P67" s="13"/>
      <c r="Q67" s="13"/>
    </row>
    <row r="68" spans="1:17" ht="15.75" thickBot="1" x14ac:dyDescent="0.3">
      <c r="A68" s="12"/>
      <c r="B68" s="12"/>
      <c r="C68" s="12"/>
      <c r="D68" s="12"/>
      <c r="E68" s="12"/>
      <c r="F68" s="23"/>
      <c r="G68" s="24"/>
      <c r="H68" s="24"/>
      <c r="I68" s="24"/>
      <c r="J68" s="77"/>
      <c r="K68" s="50"/>
      <c r="L68" s="13"/>
      <c r="N68" s="13"/>
      <c r="O68" s="13"/>
      <c r="P68" s="13"/>
      <c r="Q68" s="13"/>
    </row>
  </sheetData>
  <phoneticPr fontId="9" type="noConversion"/>
  <printOptions gridLines="1"/>
  <pageMargins left="0.25" right="0.25" top="1" bottom="0.5" header="0.3" footer="0.3"/>
  <headerFooter>
    <oddHeader>&amp;L&amp;Z
&amp;F
&amp;A&amp;R&amp;D
&amp;T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8"/>
  <sheetViews>
    <sheetView topLeftCell="I58" zoomScale="150" zoomScaleNormal="150" zoomScalePageLayoutView="150" workbookViewId="0">
      <selection activeCell="R68" sqref="A1:R68"/>
    </sheetView>
  </sheetViews>
  <sheetFormatPr defaultColWidth="8.85546875" defaultRowHeight="15" x14ac:dyDescent="0.25"/>
  <cols>
    <col min="1" max="5" width="3" customWidth="1"/>
    <col min="6" max="6" width="30.42578125" customWidth="1"/>
    <col min="7" max="7" width="10" customWidth="1"/>
    <col min="8" max="8" width="2.7109375" customWidth="1"/>
    <col min="9" max="9" width="9.85546875" customWidth="1"/>
    <col min="10" max="10" width="2.42578125" customWidth="1"/>
    <col min="11" max="11" width="10.85546875" customWidth="1"/>
    <col min="12" max="12" width="2.28515625" customWidth="1"/>
    <col min="13" max="13" width="10.7109375" customWidth="1"/>
    <col min="14" max="14" width="2.140625" customWidth="1"/>
    <col min="15" max="15" width="7.28515625" customWidth="1"/>
    <col min="16" max="16" width="3.140625" customWidth="1"/>
    <col min="17" max="17" width="11.28515625" customWidth="1"/>
    <col min="18" max="18" width="21" customWidth="1"/>
  </cols>
  <sheetData>
    <row r="1" spans="1:18" ht="27" customHeight="1" thickBot="1" x14ac:dyDescent="0.3">
      <c r="A1" s="9"/>
      <c r="B1" s="9"/>
      <c r="C1" s="9"/>
      <c r="D1" s="9"/>
      <c r="E1" s="9"/>
      <c r="F1" s="9"/>
      <c r="G1" s="34" t="s">
        <v>43</v>
      </c>
      <c r="H1" s="35"/>
      <c r="I1" s="34" t="s">
        <v>17</v>
      </c>
      <c r="J1" s="35"/>
      <c r="K1" s="34" t="s">
        <v>13</v>
      </c>
      <c r="L1" s="35"/>
      <c r="M1" s="61" t="s">
        <v>14</v>
      </c>
      <c r="N1" s="35"/>
      <c r="O1" s="34" t="s">
        <v>46</v>
      </c>
      <c r="P1" s="35"/>
      <c r="Q1" s="34" t="s">
        <v>47</v>
      </c>
      <c r="R1" s="60"/>
    </row>
    <row r="2" spans="1:18" ht="15.75" thickTop="1" x14ac:dyDescent="0.25">
      <c r="A2" s="1"/>
      <c r="B2" s="1" t="s">
        <v>48</v>
      </c>
      <c r="C2" s="1"/>
      <c r="D2" s="1"/>
      <c r="E2" s="1"/>
      <c r="F2" s="1"/>
      <c r="G2" s="2"/>
      <c r="H2" s="33"/>
      <c r="I2" s="2"/>
      <c r="J2" s="33"/>
      <c r="K2" s="2"/>
      <c r="L2" s="33"/>
      <c r="M2" s="62"/>
      <c r="N2" s="33"/>
      <c r="O2" s="2"/>
      <c r="P2" s="33"/>
      <c r="Q2" s="2"/>
      <c r="R2" s="60"/>
    </row>
    <row r="3" spans="1:18" x14ac:dyDescent="0.25">
      <c r="A3" s="1"/>
      <c r="B3" s="1"/>
      <c r="C3" s="1" t="s">
        <v>49</v>
      </c>
      <c r="D3" s="1"/>
      <c r="E3" s="1"/>
      <c r="F3" s="1"/>
      <c r="G3" s="53"/>
      <c r="H3" s="33"/>
      <c r="I3" s="53"/>
      <c r="J3" s="33"/>
      <c r="K3" s="53"/>
      <c r="L3" s="33"/>
      <c r="M3" s="63"/>
      <c r="N3" s="33"/>
      <c r="O3" s="53"/>
      <c r="P3" s="33"/>
      <c r="Q3" s="53"/>
      <c r="R3" s="60"/>
    </row>
    <row r="4" spans="1:18" x14ac:dyDescent="0.25">
      <c r="A4" s="1"/>
      <c r="B4" s="1"/>
      <c r="C4" s="1"/>
      <c r="D4" s="1" t="s">
        <v>50</v>
      </c>
      <c r="E4" s="1"/>
      <c r="F4" s="1"/>
      <c r="G4" s="53"/>
      <c r="H4" s="33"/>
      <c r="I4" s="53"/>
      <c r="J4" s="33"/>
      <c r="K4" s="53"/>
      <c r="L4" s="33"/>
      <c r="M4" s="63"/>
      <c r="N4" s="33"/>
      <c r="O4" s="53"/>
      <c r="P4" s="33"/>
      <c r="Q4" s="53"/>
      <c r="R4" s="60"/>
    </row>
    <row r="5" spans="1:18" x14ac:dyDescent="0.25">
      <c r="A5" s="1"/>
      <c r="B5" s="1"/>
      <c r="C5" s="1"/>
      <c r="D5" s="1"/>
      <c r="E5" s="1" t="s">
        <v>90</v>
      </c>
      <c r="F5" s="1"/>
      <c r="G5" s="53">
        <v>30</v>
      </c>
      <c r="H5" s="33"/>
      <c r="I5" s="53">
        <v>0</v>
      </c>
      <c r="J5" s="33"/>
      <c r="K5" s="53">
        <v>0</v>
      </c>
      <c r="L5" s="33"/>
      <c r="M5" s="63">
        <v>0</v>
      </c>
      <c r="N5" s="33"/>
      <c r="O5" s="53">
        <v>0</v>
      </c>
      <c r="P5" s="33"/>
      <c r="Q5" s="53">
        <f>ROUND(SUM(G5:O5),5)</f>
        <v>30</v>
      </c>
      <c r="R5" s="60"/>
    </row>
    <row r="6" spans="1:18" ht="15.75" thickBot="1" x14ac:dyDescent="0.3">
      <c r="A6" s="1"/>
      <c r="B6" s="1"/>
      <c r="C6" s="1"/>
      <c r="D6" s="1"/>
      <c r="E6" s="1" t="s">
        <v>91</v>
      </c>
      <c r="F6" s="1"/>
      <c r="G6" s="54">
        <v>100</v>
      </c>
      <c r="H6" s="33"/>
      <c r="I6" s="54">
        <v>0</v>
      </c>
      <c r="J6" s="33"/>
      <c r="K6" s="54">
        <v>0</v>
      </c>
      <c r="L6" s="33"/>
      <c r="M6" s="64">
        <v>0</v>
      </c>
      <c r="N6" s="33"/>
      <c r="O6" s="54">
        <v>0</v>
      </c>
      <c r="P6" s="33"/>
      <c r="Q6" s="54">
        <f>ROUND(SUM(G6:O6),5)</f>
        <v>100</v>
      </c>
      <c r="R6" s="60"/>
    </row>
    <row r="7" spans="1:18" x14ac:dyDescent="0.25">
      <c r="A7" s="1"/>
      <c r="B7" s="1"/>
      <c r="C7" s="1"/>
      <c r="D7" s="1" t="s">
        <v>92</v>
      </c>
      <c r="E7" s="1"/>
      <c r="F7" s="1"/>
      <c r="G7" s="53">
        <f>ROUND(G4+G6+G5,5)</f>
        <v>130</v>
      </c>
      <c r="H7" s="33"/>
      <c r="I7" s="53">
        <f>ROUND(I4+I6+I5,5)</f>
        <v>0</v>
      </c>
      <c r="J7" s="33"/>
      <c r="K7" s="53">
        <f>ROUND(K4+K6+K5,5)</f>
        <v>0</v>
      </c>
      <c r="L7" s="33"/>
      <c r="M7" s="63"/>
      <c r="N7" s="33"/>
      <c r="O7" s="53">
        <f>ROUND(O4+O6+O5,5)</f>
        <v>0</v>
      </c>
      <c r="P7" s="33"/>
      <c r="Q7" s="53">
        <f>ROUND(SUM(G7:O7),5)</f>
        <v>130</v>
      </c>
      <c r="R7" s="60"/>
    </row>
    <row r="8" spans="1:18" x14ac:dyDescent="0.25">
      <c r="A8" s="1"/>
      <c r="B8" s="1"/>
      <c r="C8" s="1"/>
      <c r="D8" s="1" t="s">
        <v>55</v>
      </c>
      <c r="E8" s="1"/>
      <c r="F8" s="1"/>
      <c r="G8" s="53"/>
      <c r="H8" s="33"/>
      <c r="I8" s="53"/>
      <c r="J8" s="33"/>
      <c r="K8" s="53"/>
      <c r="L8" s="33"/>
      <c r="M8" s="63"/>
      <c r="N8" s="33"/>
      <c r="O8" s="53"/>
      <c r="P8" s="33"/>
      <c r="Q8" s="53"/>
      <c r="R8" s="60"/>
    </row>
    <row r="9" spans="1:18" x14ac:dyDescent="0.25">
      <c r="A9" s="1"/>
      <c r="B9" s="1"/>
      <c r="C9" s="1"/>
      <c r="D9" s="1"/>
      <c r="E9" s="1" t="s">
        <v>93</v>
      </c>
      <c r="F9" s="1"/>
      <c r="G9" s="53">
        <v>300</v>
      </c>
      <c r="H9" s="33"/>
      <c r="I9" s="53">
        <v>0</v>
      </c>
      <c r="J9" s="33"/>
      <c r="K9" s="53">
        <v>0</v>
      </c>
      <c r="L9" s="33"/>
      <c r="M9" s="63">
        <v>0</v>
      </c>
      <c r="N9" s="33"/>
      <c r="O9" s="53">
        <v>0</v>
      </c>
      <c r="P9" s="33"/>
      <c r="Q9" s="53">
        <f>ROUND(SUM(G9:O9),5)</f>
        <v>300</v>
      </c>
      <c r="R9" s="60"/>
    </row>
    <row r="10" spans="1:18" x14ac:dyDescent="0.25">
      <c r="A10" s="1"/>
      <c r="B10" s="1"/>
      <c r="C10" s="1"/>
      <c r="D10" s="1"/>
      <c r="E10" s="1" t="s">
        <v>57</v>
      </c>
      <c r="F10" s="1"/>
      <c r="G10" s="53"/>
      <c r="H10" s="33"/>
      <c r="I10" s="53"/>
      <c r="J10" s="33"/>
      <c r="K10" s="53"/>
      <c r="L10" s="33"/>
      <c r="M10" s="63"/>
      <c r="N10" s="33"/>
      <c r="O10" s="53"/>
      <c r="P10" s="33"/>
      <c r="Q10" s="53"/>
      <c r="R10" s="60"/>
    </row>
    <row r="11" spans="1:18" x14ac:dyDescent="0.25">
      <c r="A11" s="1"/>
      <c r="B11" s="1"/>
      <c r="C11" s="1"/>
      <c r="D11" s="1"/>
      <c r="E11" s="1"/>
      <c r="F11" s="1" t="s">
        <v>58</v>
      </c>
      <c r="G11" s="53">
        <v>0</v>
      </c>
      <c r="H11" s="33"/>
      <c r="I11" s="53">
        <f>-(5*I61)</f>
        <v>-2500</v>
      </c>
      <c r="J11" s="33"/>
      <c r="K11" s="53"/>
      <c r="L11" s="33"/>
      <c r="M11" s="63"/>
      <c r="N11" s="33"/>
      <c r="O11" s="53">
        <v>0</v>
      </c>
      <c r="P11" s="33"/>
      <c r="Q11" s="53">
        <f t="shared" ref="Q11:Q16" si="0">ROUND(SUM(G11:O11),5)</f>
        <v>-2500</v>
      </c>
      <c r="R11" s="60" t="s">
        <v>19</v>
      </c>
    </row>
    <row r="12" spans="1:18" x14ac:dyDescent="0.25">
      <c r="A12" s="1"/>
      <c r="B12" s="1"/>
      <c r="C12" s="1"/>
      <c r="D12" s="1"/>
      <c r="E12" s="1"/>
      <c r="F12" s="1" t="s">
        <v>59</v>
      </c>
      <c r="G12" s="53">
        <v>0</v>
      </c>
      <c r="H12" s="33"/>
      <c r="I12" s="53">
        <v>0</v>
      </c>
      <c r="J12" s="33"/>
      <c r="K12" s="53">
        <v>0</v>
      </c>
      <c r="L12" s="33"/>
      <c r="M12" s="63">
        <v>0</v>
      </c>
      <c r="N12" s="33"/>
      <c r="O12" s="53">
        <v>0</v>
      </c>
      <c r="P12" s="33"/>
      <c r="Q12" s="53">
        <f t="shared" si="0"/>
        <v>0</v>
      </c>
      <c r="R12" s="60"/>
    </row>
    <row r="13" spans="1:18" ht="15.75" thickBot="1" x14ac:dyDescent="0.3">
      <c r="A13" s="1"/>
      <c r="B13" s="1"/>
      <c r="C13" s="1"/>
      <c r="D13" s="1"/>
      <c r="E13" s="1"/>
      <c r="F13" s="1" t="s">
        <v>60</v>
      </c>
      <c r="G13" s="55">
        <v>0</v>
      </c>
      <c r="H13" s="33"/>
      <c r="I13" s="55">
        <f>I60*I61</f>
        <v>120000</v>
      </c>
      <c r="J13" s="33"/>
      <c r="K13" s="55">
        <f>K60*K61</f>
        <v>60000</v>
      </c>
      <c r="L13" s="33"/>
      <c r="M13" s="65">
        <f>M60*M61</f>
        <v>60000</v>
      </c>
      <c r="N13" s="33"/>
      <c r="O13" s="55">
        <v>0</v>
      </c>
      <c r="P13" s="33"/>
      <c r="Q13" s="55">
        <f t="shared" si="0"/>
        <v>240000</v>
      </c>
      <c r="R13" s="60"/>
    </row>
    <row r="14" spans="1:18" ht="15.75" thickBot="1" x14ac:dyDescent="0.3">
      <c r="A14" s="1"/>
      <c r="B14" s="1"/>
      <c r="C14" s="1"/>
      <c r="D14" s="1"/>
      <c r="E14" s="1" t="s">
        <v>61</v>
      </c>
      <c r="F14" s="1"/>
      <c r="G14" s="56">
        <f>ROUND(SUM(G10:G13),5)</f>
        <v>0</v>
      </c>
      <c r="H14" s="33"/>
      <c r="I14" s="56">
        <f>ROUND(SUM(I10:I13),5)</f>
        <v>117500</v>
      </c>
      <c r="J14" s="33"/>
      <c r="K14" s="56">
        <f>ROUND(SUM(K10:K13),5)</f>
        <v>60000</v>
      </c>
      <c r="L14" s="56">
        <f t="shared" ref="L14:M14" si="1">ROUND(SUM(L10:L13),5)</f>
        <v>0</v>
      </c>
      <c r="M14" s="66">
        <f t="shared" si="1"/>
        <v>60000</v>
      </c>
      <c r="N14" s="33"/>
      <c r="O14" s="56">
        <f>ROUND(SUM(O10:O13),5)</f>
        <v>0</v>
      </c>
      <c r="P14" s="33"/>
      <c r="Q14" s="56">
        <f t="shared" si="0"/>
        <v>237500</v>
      </c>
      <c r="R14" s="60"/>
    </row>
    <row r="15" spans="1:18" ht="15.75" thickBot="1" x14ac:dyDescent="0.3">
      <c r="A15" s="1"/>
      <c r="B15" s="1"/>
      <c r="C15" s="1"/>
      <c r="D15" s="1" t="s">
        <v>62</v>
      </c>
      <c r="E15" s="1"/>
      <c r="F15" s="1"/>
      <c r="G15" s="57">
        <f>ROUND(G8+G14+G9,5)</f>
        <v>300</v>
      </c>
      <c r="H15" s="33"/>
      <c r="I15" s="57">
        <f>ROUND(I8+I14+I9,5)</f>
        <v>117500</v>
      </c>
      <c r="J15" s="33"/>
      <c r="K15" s="57">
        <f>ROUND(K8+K14+K9,5)</f>
        <v>60000</v>
      </c>
      <c r="L15" s="57">
        <f t="shared" ref="L15:M15" si="2">ROUND(L8+L14+L9,5)</f>
        <v>0</v>
      </c>
      <c r="M15" s="67">
        <f t="shared" si="2"/>
        <v>60000</v>
      </c>
      <c r="N15" s="33"/>
      <c r="O15" s="57">
        <f>ROUND(O8+O14+O9,5)</f>
        <v>0</v>
      </c>
      <c r="P15" s="33"/>
      <c r="Q15" s="57">
        <f t="shared" si="0"/>
        <v>237800</v>
      </c>
      <c r="R15" s="60"/>
    </row>
    <row r="16" spans="1:18" x14ac:dyDescent="0.25">
      <c r="A16" s="1"/>
      <c r="B16" s="1"/>
      <c r="C16" s="1" t="s">
        <v>63</v>
      </c>
      <c r="D16" s="1"/>
      <c r="E16" s="1"/>
      <c r="F16" s="1"/>
      <c r="G16" s="53">
        <f>ROUND(G3+G7+G15,5)</f>
        <v>430</v>
      </c>
      <c r="H16" s="33"/>
      <c r="I16" s="53">
        <f>ROUND(I3+I7+I15,5)</f>
        <v>117500</v>
      </c>
      <c r="J16" s="33"/>
      <c r="K16" s="53">
        <f>ROUND(K3+K7+K15,5)</f>
        <v>60000</v>
      </c>
      <c r="L16" s="53">
        <f t="shared" ref="L16:M16" si="3">ROUND(L3+L7+L15,5)</f>
        <v>0</v>
      </c>
      <c r="M16" s="63">
        <f t="shared" si="3"/>
        <v>60000</v>
      </c>
      <c r="N16" s="33"/>
      <c r="O16" s="53">
        <f>ROUND(O3+O7+O15,5)</f>
        <v>0</v>
      </c>
      <c r="P16" s="33"/>
      <c r="Q16" s="53">
        <f t="shared" si="0"/>
        <v>237930</v>
      </c>
      <c r="R16" s="60"/>
    </row>
    <row r="17" spans="1:18" x14ac:dyDescent="0.25">
      <c r="A17" s="1"/>
      <c r="B17" s="1"/>
      <c r="C17" s="1" t="s">
        <v>64</v>
      </c>
      <c r="D17" s="1"/>
      <c r="E17" s="1"/>
      <c r="F17" s="1"/>
      <c r="G17" s="53"/>
      <c r="H17" s="33"/>
      <c r="I17" s="53"/>
      <c r="J17" s="33"/>
      <c r="K17" s="53"/>
      <c r="L17" s="33"/>
      <c r="M17" s="63"/>
      <c r="N17" s="33"/>
      <c r="O17" s="53"/>
      <c r="P17" s="33"/>
      <c r="Q17" s="53"/>
      <c r="R17" s="60"/>
    </row>
    <row r="18" spans="1:18" x14ac:dyDescent="0.25">
      <c r="A18" s="1"/>
      <c r="B18" s="1"/>
      <c r="C18" s="1"/>
      <c r="D18" s="1" t="s">
        <v>94</v>
      </c>
      <c r="E18" s="1"/>
      <c r="F18" s="1"/>
      <c r="G18" s="53"/>
      <c r="H18" s="33"/>
      <c r="I18" s="53"/>
      <c r="J18" s="33"/>
      <c r="K18" s="53"/>
      <c r="L18" s="33"/>
      <c r="M18" s="63"/>
      <c r="N18" s="33"/>
      <c r="O18" s="53"/>
      <c r="P18" s="33"/>
      <c r="Q18" s="53"/>
      <c r="R18" s="60"/>
    </row>
    <row r="19" spans="1:18" ht="15.75" thickBot="1" x14ac:dyDescent="0.3">
      <c r="A19" s="1"/>
      <c r="B19" s="1"/>
      <c r="C19" s="1"/>
      <c r="D19" s="1"/>
      <c r="E19" s="1" t="s">
        <v>95</v>
      </c>
      <c r="F19" s="1"/>
      <c r="G19" s="54">
        <v>30</v>
      </c>
      <c r="H19" s="33"/>
      <c r="I19" s="54">
        <v>0</v>
      </c>
      <c r="J19" s="33"/>
      <c r="K19" s="54">
        <v>0</v>
      </c>
      <c r="L19" s="33"/>
      <c r="M19" s="64">
        <v>0</v>
      </c>
      <c r="N19" s="33"/>
      <c r="O19" s="54">
        <v>0</v>
      </c>
      <c r="P19" s="33"/>
      <c r="Q19" s="54">
        <f>ROUND(SUM(G19:O19),5)</f>
        <v>30</v>
      </c>
      <c r="R19" s="60"/>
    </row>
    <row r="20" spans="1:18" x14ac:dyDescent="0.25">
      <c r="A20" s="1"/>
      <c r="B20" s="1"/>
      <c r="C20" s="1"/>
      <c r="D20" s="1" t="s">
        <v>96</v>
      </c>
      <c r="E20" s="1"/>
      <c r="F20" s="1"/>
      <c r="G20" s="53">
        <f>ROUND(SUM(G18:G19),5)</f>
        <v>30</v>
      </c>
      <c r="H20" s="33"/>
      <c r="I20" s="53">
        <f>ROUND(SUM(I18:I19),5)</f>
        <v>0</v>
      </c>
      <c r="J20" s="33"/>
      <c r="K20" s="53">
        <f>ROUND(SUM(K18:K19),5)</f>
        <v>0</v>
      </c>
      <c r="L20" s="33"/>
      <c r="M20" s="63"/>
      <c r="N20" s="33"/>
      <c r="O20" s="53">
        <f>ROUND(SUM(O18:O19),5)</f>
        <v>0</v>
      </c>
      <c r="P20" s="33"/>
      <c r="Q20" s="53">
        <f>ROUND(SUM(G20:O20),5)</f>
        <v>30</v>
      </c>
      <c r="R20" s="60"/>
    </row>
    <row r="21" spans="1:18" x14ac:dyDescent="0.25">
      <c r="A21" s="1"/>
      <c r="B21" s="1"/>
      <c r="C21" s="1"/>
      <c r="D21" s="1" t="s">
        <v>97</v>
      </c>
      <c r="E21" s="1"/>
      <c r="F21" s="1"/>
      <c r="G21" s="53"/>
      <c r="H21" s="33"/>
      <c r="I21" s="53"/>
      <c r="J21" s="33"/>
      <c r="K21" s="53"/>
      <c r="L21" s="33"/>
      <c r="M21" s="63"/>
      <c r="N21" s="33"/>
      <c r="O21" s="53"/>
      <c r="P21" s="33"/>
      <c r="Q21" s="53"/>
      <c r="R21" s="60"/>
    </row>
    <row r="22" spans="1:18" ht="15.75" thickBot="1" x14ac:dyDescent="0.3">
      <c r="A22" s="1"/>
      <c r="B22" s="1"/>
      <c r="C22" s="1"/>
      <c r="D22" s="1"/>
      <c r="E22" s="1" t="s">
        <v>98</v>
      </c>
      <c r="F22" s="1"/>
      <c r="G22" s="54">
        <v>75</v>
      </c>
      <c r="H22" s="33"/>
      <c r="I22" s="54">
        <v>0</v>
      </c>
      <c r="J22" s="33"/>
      <c r="K22" s="54">
        <v>0</v>
      </c>
      <c r="L22" s="33"/>
      <c r="M22" s="64">
        <v>0</v>
      </c>
      <c r="N22" s="33"/>
      <c r="O22" s="54">
        <v>0</v>
      </c>
      <c r="P22" s="33"/>
      <c r="Q22" s="54">
        <f>ROUND(SUM(G22:O22),5)</f>
        <v>75</v>
      </c>
      <c r="R22" s="60"/>
    </row>
    <row r="23" spans="1:18" x14ac:dyDescent="0.25">
      <c r="A23" s="1"/>
      <c r="B23" s="1"/>
      <c r="C23" s="1"/>
      <c r="D23" s="1" t="s">
        <v>99</v>
      </c>
      <c r="E23" s="1"/>
      <c r="F23" s="1"/>
      <c r="G23" s="53">
        <f>ROUND(SUM(G21:G22),5)</f>
        <v>75</v>
      </c>
      <c r="H23" s="33"/>
      <c r="I23" s="53">
        <f>ROUND(SUM(I21:I22),5)</f>
        <v>0</v>
      </c>
      <c r="J23" s="33"/>
      <c r="K23" s="53">
        <f>ROUND(SUM(K21:K22),5)</f>
        <v>0</v>
      </c>
      <c r="L23" s="33"/>
      <c r="M23" s="63"/>
      <c r="N23" s="33"/>
      <c r="O23" s="53">
        <f>ROUND(SUM(O21:O22),5)</f>
        <v>0</v>
      </c>
      <c r="P23" s="33"/>
      <c r="Q23" s="53">
        <f>ROUND(SUM(G23:O23),5)</f>
        <v>75</v>
      </c>
      <c r="R23" s="60"/>
    </row>
    <row r="24" spans="1:18" x14ac:dyDescent="0.25">
      <c r="A24" s="1"/>
      <c r="B24" s="1"/>
      <c r="C24" s="1"/>
      <c r="D24" s="1" t="s">
        <v>68</v>
      </c>
      <c r="E24" s="1"/>
      <c r="F24" s="1"/>
      <c r="G24" s="53"/>
      <c r="H24" s="33"/>
      <c r="I24" s="53"/>
      <c r="J24" s="33"/>
      <c r="K24" s="53"/>
      <c r="L24" s="33"/>
      <c r="M24" s="63"/>
      <c r="N24" s="33"/>
      <c r="O24" s="53"/>
      <c r="P24" s="33"/>
      <c r="Q24" s="53"/>
      <c r="R24" s="60"/>
    </row>
    <row r="25" spans="1:18" x14ac:dyDescent="0.25">
      <c r="A25" s="1"/>
      <c r="B25" s="1"/>
      <c r="C25" s="1"/>
      <c r="D25" s="1"/>
      <c r="E25" s="1" t="s">
        <v>100</v>
      </c>
      <c r="F25" s="1"/>
      <c r="G25" s="53">
        <v>10</v>
      </c>
      <c r="H25" s="33"/>
      <c r="I25" s="53">
        <v>0</v>
      </c>
      <c r="J25" s="33"/>
      <c r="K25" s="53">
        <v>0</v>
      </c>
      <c r="L25" s="33"/>
      <c r="M25" s="63">
        <v>0</v>
      </c>
      <c r="N25" s="33"/>
      <c r="O25" s="53">
        <v>0</v>
      </c>
      <c r="P25" s="33"/>
      <c r="Q25" s="53">
        <f>ROUND(SUM(G25:O25),5)</f>
        <v>10</v>
      </c>
      <c r="R25" s="60"/>
    </row>
    <row r="26" spans="1:18" x14ac:dyDescent="0.25">
      <c r="A26" s="1"/>
      <c r="B26" s="1"/>
      <c r="C26" s="1"/>
      <c r="D26" s="1"/>
      <c r="E26" s="1" t="s">
        <v>69</v>
      </c>
      <c r="F26" s="1"/>
      <c r="G26" s="53">
        <v>126.45</v>
      </c>
      <c r="H26" s="33"/>
      <c r="I26" s="53">
        <v>0</v>
      </c>
      <c r="J26" s="33"/>
      <c r="K26" s="53">
        <v>0</v>
      </c>
      <c r="L26" s="33"/>
      <c r="M26" s="63"/>
      <c r="N26" s="33"/>
      <c r="O26" s="53">
        <v>0</v>
      </c>
      <c r="P26" s="33"/>
      <c r="Q26" s="53">
        <f>ROUND(SUM(G26:O26),5)</f>
        <v>126.45</v>
      </c>
      <c r="R26" s="60"/>
    </row>
    <row r="27" spans="1:18" x14ac:dyDescent="0.25">
      <c r="A27" s="1"/>
      <c r="B27" s="1"/>
      <c r="C27" s="1"/>
      <c r="D27" s="1"/>
      <c r="E27" s="1" t="s">
        <v>70</v>
      </c>
      <c r="F27" s="1"/>
      <c r="G27" s="53">
        <v>0</v>
      </c>
      <c r="H27" s="33"/>
      <c r="I27" s="53">
        <v>0</v>
      </c>
      <c r="J27" s="33"/>
      <c r="K27" s="53">
        <v>0</v>
      </c>
      <c r="L27" s="33"/>
      <c r="M27" s="63"/>
      <c r="N27" s="33"/>
      <c r="O27" s="53">
        <v>0</v>
      </c>
      <c r="P27" s="33"/>
      <c r="Q27" s="53">
        <f>ROUND(SUM(G27:O27),5)</f>
        <v>0</v>
      </c>
      <c r="R27" s="60"/>
    </row>
    <row r="28" spans="1:18" ht="15.75" thickBot="1" x14ac:dyDescent="0.3">
      <c r="A28" s="1"/>
      <c r="B28" s="1"/>
      <c r="C28" s="1"/>
      <c r="D28" s="1"/>
      <c r="E28" s="1" t="s">
        <v>101</v>
      </c>
      <c r="F28" s="1"/>
      <c r="G28" s="54">
        <v>800</v>
      </c>
      <c r="H28" s="33"/>
      <c r="I28" s="54">
        <v>0</v>
      </c>
      <c r="J28" s="33"/>
      <c r="K28" s="54">
        <v>0</v>
      </c>
      <c r="L28" s="33"/>
      <c r="M28" s="64"/>
      <c r="N28" s="33"/>
      <c r="O28" s="54">
        <v>0</v>
      </c>
      <c r="P28" s="33"/>
      <c r="Q28" s="54">
        <f>ROUND(SUM(G28:O28),5)</f>
        <v>800</v>
      </c>
      <c r="R28" s="60" t="s">
        <v>20</v>
      </c>
    </row>
    <row r="29" spans="1:18" x14ac:dyDescent="0.25">
      <c r="A29" s="1"/>
      <c r="B29" s="1"/>
      <c r="C29" s="1"/>
      <c r="D29" s="1" t="s">
        <v>71</v>
      </c>
      <c r="E29" s="1"/>
      <c r="F29" s="1"/>
      <c r="G29" s="53">
        <f>ROUND(G24+G26+G25+G28+G27,5)</f>
        <v>936.45</v>
      </c>
      <c r="H29" s="33"/>
      <c r="I29" s="53">
        <f>ROUND(I24+I26+I25+I28+I27,5)</f>
        <v>0</v>
      </c>
      <c r="J29" s="33"/>
      <c r="K29" s="53">
        <f>ROUND(K24+K26+K25+K28+K27,5)</f>
        <v>0</v>
      </c>
      <c r="L29" s="33"/>
      <c r="M29" s="63"/>
      <c r="N29" s="33"/>
      <c r="O29" s="53">
        <f>ROUND(O24+O26+O25+O28+O27,5)</f>
        <v>0</v>
      </c>
      <c r="P29" s="33"/>
      <c r="Q29" s="53">
        <f>ROUND(SUM(G29:O29),5)</f>
        <v>936.45</v>
      </c>
      <c r="R29" s="60"/>
    </row>
    <row r="30" spans="1:18" x14ac:dyDescent="0.25">
      <c r="A30" s="1"/>
      <c r="B30" s="1"/>
      <c r="C30" s="1"/>
      <c r="D30" s="1" t="s">
        <v>65</v>
      </c>
      <c r="E30" s="1"/>
      <c r="F30" s="1"/>
      <c r="G30" s="53"/>
      <c r="H30" s="33"/>
      <c r="I30" s="53"/>
      <c r="J30" s="33"/>
      <c r="K30" s="53"/>
      <c r="L30" s="33"/>
      <c r="M30" s="63"/>
      <c r="N30" s="33"/>
      <c r="O30" s="53"/>
      <c r="P30" s="33"/>
      <c r="Q30" s="53"/>
      <c r="R30" s="60"/>
    </row>
    <row r="31" spans="1:18" x14ac:dyDescent="0.25">
      <c r="A31" s="1"/>
      <c r="B31" s="1"/>
      <c r="C31" s="1"/>
      <c r="D31" s="1"/>
      <c r="E31" s="1" t="s">
        <v>66</v>
      </c>
      <c r="F31" s="1"/>
      <c r="G31" s="53">
        <f>20*20*12</f>
        <v>4800</v>
      </c>
      <c r="H31" s="33"/>
      <c r="I31" s="53">
        <v>0</v>
      </c>
      <c r="J31" s="33"/>
      <c r="K31" s="53">
        <v>0</v>
      </c>
      <c r="L31" s="33"/>
      <c r="M31" s="63"/>
      <c r="N31" s="33"/>
      <c r="O31" s="53">
        <v>0</v>
      </c>
      <c r="P31" s="33"/>
      <c r="Q31" s="53">
        <f>ROUND(SUM(G31:O31),5)</f>
        <v>4800</v>
      </c>
      <c r="R31" s="60" t="s">
        <v>21</v>
      </c>
    </row>
    <row r="32" spans="1:18" ht="15.75" thickBot="1" x14ac:dyDescent="0.3">
      <c r="A32" s="1"/>
      <c r="B32" s="1"/>
      <c r="C32" s="1"/>
      <c r="D32" s="1"/>
      <c r="E32" s="1" t="s">
        <v>102</v>
      </c>
      <c r="F32" s="1"/>
      <c r="G32" s="54">
        <v>2600</v>
      </c>
      <c r="H32" s="33"/>
      <c r="I32" s="54">
        <v>0</v>
      </c>
      <c r="J32" s="33"/>
      <c r="K32" s="54">
        <v>0</v>
      </c>
      <c r="L32" s="33"/>
      <c r="M32" s="64"/>
      <c r="N32" s="33"/>
      <c r="O32" s="54">
        <v>0</v>
      </c>
      <c r="P32" s="33"/>
      <c r="Q32" s="54">
        <f>ROUND(SUM(G32:O32),5)</f>
        <v>2600</v>
      </c>
      <c r="R32" s="60"/>
    </row>
    <row r="33" spans="1:18" x14ac:dyDescent="0.25">
      <c r="A33" s="1"/>
      <c r="B33" s="1"/>
      <c r="C33" s="1"/>
      <c r="D33" s="1" t="s">
        <v>67</v>
      </c>
      <c r="E33" s="1"/>
      <c r="F33" s="1"/>
      <c r="G33" s="53">
        <f>ROUND(G30+G32+G31,5)</f>
        <v>7400</v>
      </c>
      <c r="H33" s="33"/>
      <c r="I33" s="53">
        <f>ROUND(I30+I32+I31,5)</f>
        <v>0</v>
      </c>
      <c r="J33" s="33"/>
      <c r="K33" s="53">
        <f>ROUND(K30+K32+K31,5)</f>
        <v>0</v>
      </c>
      <c r="L33" s="33"/>
      <c r="M33" s="63"/>
      <c r="N33" s="33"/>
      <c r="O33" s="53">
        <f>ROUND(O30+O32+O31,5)</f>
        <v>0</v>
      </c>
      <c r="P33" s="33"/>
      <c r="Q33" s="53">
        <f>ROUND(SUM(G33:O33),5)</f>
        <v>7400</v>
      </c>
      <c r="R33" s="60"/>
    </row>
    <row r="34" spans="1:18" x14ac:dyDescent="0.25">
      <c r="A34" s="1"/>
      <c r="B34" s="1"/>
      <c r="C34" s="1"/>
      <c r="D34" s="1" t="s">
        <v>72</v>
      </c>
      <c r="E34" s="1"/>
      <c r="F34" s="1"/>
      <c r="G34" s="53"/>
      <c r="H34" s="33"/>
      <c r="I34" s="53"/>
      <c r="J34" s="33"/>
      <c r="K34" s="53"/>
      <c r="L34" s="33"/>
      <c r="M34" s="63"/>
      <c r="N34" s="33"/>
      <c r="O34" s="53"/>
      <c r="P34" s="33"/>
      <c r="Q34" s="53"/>
      <c r="R34" s="60"/>
    </row>
    <row r="35" spans="1:18" x14ac:dyDescent="0.25">
      <c r="A35" s="1"/>
      <c r="B35" s="1"/>
      <c r="C35" s="1"/>
      <c r="D35" s="1"/>
      <c r="E35" s="1" t="s">
        <v>77</v>
      </c>
      <c r="F35" s="1"/>
      <c r="G35" s="53">
        <v>20</v>
      </c>
      <c r="H35" s="33"/>
      <c r="I35" s="53">
        <f>300*0.5</f>
        <v>150</v>
      </c>
      <c r="J35" s="33"/>
      <c r="K35" s="53">
        <v>65</v>
      </c>
      <c r="L35" s="33"/>
      <c r="M35" s="63">
        <v>65</v>
      </c>
      <c r="N35" s="33"/>
      <c r="O35" s="53">
        <v>0</v>
      </c>
      <c r="P35" s="33"/>
      <c r="Q35" s="53">
        <f t="shared" ref="Q35:Q47" si="4">ROUND(SUM(G35:O35),5)</f>
        <v>300</v>
      </c>
      <c r="R35" s="60" t="s">
        <v>22</v>
      </c>
    </row>
    <row r="36" spans="1:18" x14ac:dyDescent="0.25">
      <c r="A36" s="1"/>
      <c r="B36" s="1"/>
      <c r="C36" s="1"/>
      <c r="D36" s="1"/>
      <c r="E36" s="1" t="s">
        <v>103</v>
      </c>
      <c r="F36" s="1"/>
      <c r="G36" s="53">
        <v>0</v>
      </c>
      <c r="H36" s="33"/>
      <c r="I36" s="53">
        <v>300</v>
      </c>
      <c r="J36" s="33"/>
      <c r="K36" s="53">
        <v>150</v>
      </c>
      <c r="M36" s="63">
        <v>150</v>
      </c>
      <c r="N36" s="33"/>
      <c r="O36" s="53">
        <v>0</v>
      </c>
      <c r="P36" s="33"/>
      <c r="Q36" s="53">
        <f t="shared" si="4"/>
        <v>600</v>
      </c>
      <c r="R36" s="60"/>
    </row>
    <row r="37" spans="1:18" x14ac:dyDescent="0.25">
      <c r="A37" s="1"/>
      <c r="B37" s="1"/>
      <c r="C37" s="1"/>
      <c r="D37" s="1"/>
      <c r="E37" s="1" t="s">
        <v>0</v>
      </c>
      <c r="F37" s="1"/>
      <c r="G37" s="53">
        <v>0</v>
      </c>
      <c r="H37" s="33"/>
      <c r="I37" s="53">
        <v>400</v>
      </c>
      <c r="J37" s="33"/>
      <c r="K37" s="53">
        <v>400</v>
      </c>
      <c r="L37" s="33"/>
      <c r="M37" s="63">
        <v>400</v>
      </c>
      <c r="N37" s="33"/>
      <c r="O37" s="53">
        <v>0</v>
      </c>
      <c r="P37" s="33"/>
      <c r="Q37" s="53">
        <f t="shared" si="4"/>
        <v>1200</v>
      </c>
      <c r="R37" s="60"/>
    </row>
    <row r="38" spans="1:18" x14ac:dyDescent="0.25">
      <c r="A38" s="1"/>
      <c r="B38" s="1"/>
      <c r="C38" s="1"/>
      <c r="D38" s="1"/>
      <c r="E38" s="1" t="s">
        <v>1</v>
      </c>
      <c r="F38" s="1"/>
      <c r="G38" s="53">
        <v>0</v>
      </c>
      <c r="H38" s="33"/>
      <c r="I38" s="53">
        <v>300.57</v>
      </c>
      <c r="J38" s="33"/>
      <c r="K38" s="53">
        <v>160</v>
      </c>
      <c r="L38" s="33"/>
      <c r="M38" s="63">
        <v>160</v>
      </c>
      <c r="N38" s="33"/>
      <c r="O38" s="53">
        <v>0</v>
      </c>
      <c r="P38" s="33"/>
      <c r="Q38" s="53">
        <f t="shared" si="4"/>
        <v>620.57000000000005</v>
      </c>
      <c r="R38" s="60"/>
    </row>
    <row r="39" spans="1:18" x14ac:dyDescent="0.25">
      <c r="A39" s="1"/>
      <c r="B39" s="1"/>
      <c r="C39" s="1"/>
      <c r="D39" s="1"/>
      <c r="E39" s="1" t="s">
        <v>79</v>
      </c>
      <c r="F39" s="1"/>
      <c r="G39" s="53">
        <v>0</v>
      </c>
      <c r="H39" s="33"/>
      <c r="I39" s="53">
        <v>600</v>
      </c>
      <c r="J39" s="33"/>
      <c r="K39" s="53">
        <v>300</v>
      </c>
      <c r="L39" s="33"/>
      <c r="M39" s="63">
        <v>300</v>
      </c>
      <c r="N39" s="33"/>
      <c r="O39" s="53">
        <v>0</v>
      </c>
      <c r="P39" s="33"/>
      <c r="Q39" s="53">
        <f t="shared" si="4"/>
        <v>1200</v>
      </c>
      <c r="R39" s="60"/>
    </row>
    <row r="40" spans="1:18" x14ac:dyDescent="0.25">
      <c r="A40" s="1"/>
      <c r="B40" s="1"/>
      <c r="C40" s="1"/>
      <c r="D40" s="1"/>
      <c r="E40" s="1" t="s">
        <v>2</v>
      </c>
      <c r="F40" s="1"/>
      <c r="G40" s="53">
        <v>0</v>
      </c>
      <c r="H40" s="33"/>
      <c r="I40" s="53">
        <v>550</v>
      </c>
      <c r="J40" s="33"/>
      <c r="K40" s="53">
        <v>0</v>
      </c>
      <c r="L40" s="33"/>
      <c r="M40" s="63">
        <v>0</v>
      </c>
      <c r="N40" s="33"/>
      <c r="O40" s="53">
        <v>0</v>
      </c>
      <c r="P40" s="33"/>
      <c r="Q40" s="53">
        <f t="shared" si="4"/>
        <v>550</v>
      </c>
      <c r="R40" s="60"/>
    </row>
    <row r="41" spans="1:18" x14ac:dyDescent="0.25">
      <c r="A41" s="1"/>
      <c r="B41" s="1"/>
      <c r="C41" s="1"/>
      <c r="D41" s="1"/>
      <c r="E41" s="1" t="s">
        <v>78</v>
      </c>
      <c r="F41" s="1"/>
      <c r="G41" s="53">
        <v>0</v>
      </c>
      <c r="H41" s="33"/>
      <c r="I41" s="53">
        <v>1000</v>
      </c>
      <c r="J41" s="33"/>
      <c r="K41" s="53">
        <v>600</v>
      </c>
      <c r="L41" s="33"/>
      <c r="M41" s="63">
        <v>600</v>
      </c>
      <c r="N41" s="33"/>
      <c r="O41" s="53">
        <v>0</v>
      </c>
      <c r="P41" s="33"/>
      <c r="Q41" s="53">
        <f t="shared" si="4"/>
        <v>2200</v>
      </c>
      <c r="R41" s="60" t="s">
        <v>29</v>
      </c>
    </row>
    <row r="42" spans="1:18" x14ac:dyDescent="0.25">
      <c r="A42" s="1"/>
      <c r="B42" s="1"/>
      <c r="C42" s="1"/>
      <c r="D42" s="1"/>
      <c r="E42" s="1" t="s">
        <v>76</v>
      </c>
      <c r="F42" s="1"/>
      <c r="G42" s="53">
        <f>55*12</f>
        <v>660</v>
      </c>
      <c r="H42" s="33"/>
      <c r="I42" s="53">
        <v>0</v>
      </c>
      <c r="J42" s="33"/>
      <c r="K42" s="53">
        <v>0</v>
      </c>
      <c r="L42" s="33"/>
      <c r="M42" s="63">
        <v>0</v>
      </c>
      <c r="N42" s="33"/>
      <c r="O42" s="53">
        <v>0</v>
      </c>
      <c r="P42" s="33"/>
      <c r="Q42" s="53">
        <f t="shared" si="4"/>
        <v>660</v>
      </c>
      <c r="R42" s="60"/>
    </row>
    <row r="43" spans="1:18" x14ac:dyDescent="0.25">
      <c r="A43" s="1"/>
      <c r="B43" s="1"/>
      <c r="C43" s="1"/>
      <c r="D43" s="1"/>
      <c r="E43" s="1" t="s">
        <v>3</v>
      </c>
      <c r="F43" s="1"/>
      <c r="G43" s="53">
        <v>0</v>
      </c>
      <c r="H43" s="33"/>
      <c r="I43" s="53">
        <v>900</v>
      </c>
      <c r="J43" s="33"/>
      <c r="K43" s="53">
        <v>0</v>
      </c>
      <c r="L43" s="33"/>
      <c r="M43" s="63">
        <v>0</v>
      </c>
      <c r="N43" s="33"/>
      <c r="O43" s="53">
        <v>0</v>
      </c>
      <c r="P43" s="33"/>
      <c r="Q43" s="53">
        <f t="shared" si="4"/>
        <v>900</v>
      </c>
      <c r="R43" s="60" t="s">
        <v>24</v>
      </c>
    </row>
    <row r="44" spans="1:18" x14ac:dyDescent="0.25">
      <c r="A44" s="1"/>
      <c r="B44" s="1"/>
      <c r="C44" s="1"/>
      <c r="D44" s="1"/>
      <c r="E44" s="1" t="s">
        <v>4</v>
      </c>
      <c r="F44" s="1"/>
      <c r="G44" s="53">
        <v>0</v>
      </c>
      <c r="H44" s="33"/>
      <c r="I44" s="53">
        <v>0</v>
      </c>
      <c r="J44" s="33"/>
      <c r="K44" s="53">
        <v>0</v>
      </c>
      <c r="L44" s="33"/>
      <c r="M44" s="63">
        <v>0</v>
      </c>
      <c r="N44" s="33"/>
      <c r="O44" s="53">
        <v>0</v>
      </c>
      <c r="P44" s="33"/>
      <c r="Q44" s="53">
        <f t="shared" si="4"/>
        <v>0</v>
      </c>
      <c r="R44" s="60"/>
    </row>
    <row r="45" spans="1:18" x14ac:dyDescent="0.25">
      <c r="A45" s="1"/>
      <c r="B45" s="1"/>
      <c r="C45" s="1"/>
      <c r="D45" s="1"/>
      <c r="E45" s="1" t="s">
        <v>83</v>
      </c>
      <c r="F45" s="1"/>
      <c r="G45" s="53">
        <v>0</v>
      </c>
      <c r="H45" s="33"/>
      <c r="I45" s="53">
        <v>1400</v>
      </c>
      <c r="J45" s="33"/>
      <c r="K45" s="53">
        <v>1200</v>
      </c>
      <c r="L45" s="33"/>
      <c r="M45" s="63">
        <v>1200</v>
      </c>
      <c r="N45" s="33"/>
      <c r="O45" s="53">
        <v>0</v>
      </c>
      <c r="P45" s="33"/>
      <c r="Q45" s="53">
        <f t="shared" si="4"/>
        <v>3800</v>
      </c>
      <c r="R45" s="60"/>
    </row>
    <row r="46" spans="1:18" x14ac:dyDescent="0.25">
      <c r="A46" s="1"/>
      <c r="B46" s="1"/>
      <c r="C46" s="1"/>
      <c r="D46" s="1"/>
      <c r="E46" s="1" t="s">
        <v>80</v>
      </c>
      <c r="F46" s="1"/>
      <c r="G46" s="53">
        <v>0</v>
      </c>
      <c r="H46" s="33"/>
      <c r="I46" s="53">
        <v>4500</v>
      </c>
      <c r="J46" s="33"/>
      <c r="K46" s="53">
        <v>1100</v>
      </c>
      <c r="L46" s="33"/>
      <c r="M46" s="63">
        <v>1100</v>
      </c>
      <c r="N46" s="33"/>
      <c r="O46" s="53">
        <v>0</v>
      </c>
      <c r="P46" s="33"/>
      <c r="Q46" s="53">
        <f t="shared" si="4"/>
        <v>6700</v>
      </c>
      <c r="R46" s="60"/>
    </row>
    <row r="47" spans="1:18" x14ac:dyDescent="0.25">
      <c r="A47" s="1"/>
      <c r="B47" s="1"/>
      <c r="C47" s="1"/>
      <c r="D47" s="1"/>
      <c r="E47" s="1" t="s">
        <v>82</v>
      </c>
      <c r="F47" s="1"/>
      <c r="G47" s="53">
        <v>0</v>
      </c>
      <c r="H47" s="33"/>
      <c r="I47" s="53">
        <v>4000</v>
      </c>
      <c r="J47" s="33"/>
      <c r="K47" s="53">
        <v>1500</v>
      </c>
      <c r="L47" s="33"/>
      <c r="M47" s="63">
        <v>1500</v>
      </c>
      <c r="N47" s="33"/>
      <c r="O47" s="53">
        <v>0</v>
      </c>
      <c r="P47" s="33"/>
      <c r="Q47" s="53">
        <f t="shared" si="4"/>
        <v>7000</v>
      </c>
      <c r="R47" s="60"/>
    </row>
    <row r="48" spans="1:18" x14ac:dyDescent="0.25">
      <c r="A48" s="1"/>
      <c r="B48" s="1"/>
      <c r="C48" s="1"/>
      <c r="D48" s="1"/>
      <c r="E48" s="1" t="s">
        <v>73</v>
      </c>
      <c r="F48" s="1"/>
      <c r="G48" s="53"/>
      <c r="H48" s="33"/>
      <c r="I48" s="53"/>
      <c r="J48" s="33"/>
      <c r="K48" s="53"/>
      <c r="L48" s="33"/>
      <c r="M48" s="63"/>
      <c r="N48" s="33"/>
      <c r="O48" s="53"/>
      <c r="P48" s="33"/>
      <c r="Q48" s="53"/>
      <c r="R48" s="60"/>
    </row>
    <row r="49" spans="1:18" x14ac:dyDescent="0.25">
      <c r="A49" s="1"/>
      <c r="B49" s="1"/>
      <c r="C49" s="1"/>
      <c r="D49" s="1"/>
      <c r="E49" s="1"/>
      <c r="F49" s="1" t="s">
        <v>74</v>
      </c>
      <c r="G49" s="53">
        <v>900</v>
      </c>
      <c r="H49" s="33"/>
      <c r="I49" s="53">
        <v>0</v>
      </c>
      <c r="J49" s="33"/>
      <c r="K49" s="53">
        <v>0</v>
      </c>
      <c r="L49" s="33"/>
      <c r="M49" s="63"/>
      <c r="N49" s="33"/>
      <c r="O49" s="53">
        <v>0</v>
      </c>
      <c r="P49" s="33"/>
      <c r="Q49" s="53">
        <f t="shared" ref="Q49:Q57" si="5">ROUND(SUM(G49:O49),5)</f>
        <v>900</v>
      </c>
      <c r="R49" s="60"/>
    </row>
    <row r="50" spans="1:18" ht="15.75" thickBot="1" x14ac:dyDescent="0.3">
      <c r="A50" s="1"/>
      <c r="B50" s="1"/>
      <c r="C50" s="1"/>
      <c r="D50" s="1"/>
      <c r="E50" s="1"/>
      <c r="F50" s="1" t="s">
        <v>5</v>
      </c>
      <c r="G50" s="54">
        <v>7500</v>
      </c>
      <c r="H50" s="33"/>
      <c r="I50" s="54">
        <v>0</v>
      </c>
      <c r="J50" s="33"/>
      <c r="K50" s="54">
        <v>0</v>
      </c>
      <c r="L50" s="33"/>
      <c r="M50" s="64"/>
      <c r="N50" s="33"/>
      <c r="O50" s="54">
        <v>0</v>
      </c>
      <c r="P50" s="33"/>
      <c r="Q50" s="54">
        <f t="shared" si="5"/>
        <v>7500</v>
      </c>
      <c r="R50" s="60"/>
    </row>
    <row r="51" spans="1:18" x14ac:dyDescent="0.25">
      <c r="A51" s="1"/>
      <c r="B51" s="1"/>
      <c r="C51" s="1"/>
      <c r="D51" s="1"/>
      <c r="E51" s="1" t="s">
        <v>75</v>
      </c>
      <c r="F51" s="1"/>
      <c r="G51" s="53">
        <f>ROUND(SUM(G48:G50),5)</f>
        <v>8400</v>
      </c>
      <c r="H51" s="33"/>
      <c r="I51" s="53">
        <f>ROUND(SUM(I48:I50),5)</f>
        <v>0</v>
      </c>
      <c r="J51" s="33"/>
      <c r="K51" s="53">
        <f>ROUND(SUM(K48:K50),5)</f>
        <v>0</v>
      </c>
      <c r="L51" s="33"/>
      <c r="M51" s="63"/>
      <c r="N51" s="33"/>
      <c r="O51" s="53">
        <f>ROUND(SUM(O48:O50),5)</f>
        <v>0</v>
      </c>
      <c r="P51" s="33"/>
      <c r="Q51" s="53">
        <f t="shared" si="5"/>
        <v>8400</v>
      </c>
      <c r="R51" s="60"/>
    </row>
    <row r="52" spans="1:18" x14ac:dyDescent="0.25">
      <c r="A52" s="1"/>
      <c r="B52" s="1"/>
      <c r="C52" s="1"/>
      <c r="D52" s="1"/>
      <c r="E52" s="1" t="s">
        <v>84</v>
      </c>
      <c r="F52" s="1"/>
      <c r="G52" s="53">
        <v>150</v>
      </c>
      <c r="H52" s="33"/>
      <c r="I52" s="53">
        <v>5000</v>
      </c>
      <c r="J52" s="33"/>
      <c r="K52" s="53">
        <v>2000</v>
      </c>
      <c r="M52" s="53">
        <v>2000</v>
      </c>
      <c r="N52" s="33"/>
      <c r="O52" s="53">
        <v>0</v>
      </c>
      <c r="P52" s="33"/>
      <c r="Q52" s="53">
        <f t="shared" si="5"/>
        <v>9150</v>
      </c>
      <c r="R52" s="60"/>
    </row>
    <row r="53" spans="1:18" ht="15.75" thickBot="1" x14ac:dyDescent="0.3">
      <c r="A53" s="1"/>
      <c r="B53" s="1"/>
      <c r="C53" s="1"/>
      <c r="D53" s="1"/>
      <c r="E53" s="1" t="s">
        <v>85</v>
      </c>
      <c r="F53" s="1"/>
      <c r="G53" s="55">
        <v>0</v>
      </c>
      <c r="H53" s="33"/>
      <c r="I53" s="55">
        <v>72000</v>
      </c>
      <c r="J53" s="33"/>
      <c r="K53" s="55">
        <f>K60*400</f>
        <v>48000</v>
      </c>
      <c r="L53" s="33"/>
      <c r="M53" s="63">
        <f>K53</f>
        <v>48000</v>
      </c>
      <c r="N53" s="33"/>
      <c r="O53" s="55">
        <v>0</v>
      </c>
      <c r="P53" s="33"/>
      <c r="Q53" s="55">
        <f t="shared" si="5"/>
        <v>168000</v>
      </c>
      <c r="R53" s="60" t="s">
        <v>26</v>
      </c>
    </row>
    <row r="54" spans="1:18" ht="15.75" thickBot="1" x14ac:dyDescent="0.3">
      <c r="A54" s="1"/>
      <c r="B54" s="1"/>
      <c r="C54" s="1"/>
      <c r="D54" s="1" t="s">
        <v>86</v>
      </c>
      <c r="E54" s="1"/>
      <c r="F54" s="1"/>
      <c r="G54" s="56">
        <f>ROUND(G34+G53+G45+G44+G37+G40+G47+G41+G39+G38+G35+G46+G51+G36+G43+G42+G52,5)</f>
        <v>9230</v>
      </c>
      <c r="H54" s="33"/>
      <c r="I54" s="56">
        <f>ROUND(I34+I53+I45+I44+I37+I40+I47+I41+I39+I38+I35+I46+I51+I36+I43+I42+I52,5)</f>
        <v>91100.57</v>
      </c>
      <c r="J54" s="33"/>
      <c r="K54" s="56">
        <f>ROUND(K34+K53+K45+K44+K37+K40+K47+K41+K39+K38+K35+K46+K51+K36+K43+K42+K52,5)</f>
        <v>55475</v>
      </c>
      <c r="L54" s="56">
        <f t="shared" ref="L54:M54" si="6">ROUND(L34+L53+L45+L44+L37+L40+L47+L41+L39+L38+L35+L46+L51+L36+L43+L42+L52,5)</f>
        <v>0</v>
      </c>
      <c r="M54" s="56">
        <f t="shared" si="6"/>
        <v>55475</v>
      </c>
      <c r="N54" s="33"/>
      <c r="O54" s="56">
        <f>ROUND(O34+O53+O45+O44+O37+O40+O47+O41+O39+O38+O35+O46+O51+O36+O43+O42+O52,5)</f>
        <v>0</v>
      </c>
      <c r="P54" s="33"/>
      <c r="Q54" s="56">
        <f t="shared" si="5"/>
        <v>211280.57</v>
      </c>
      <c r="R54" s="60"/>
    </row>
    <row r="55" spans="1:18" ht="15.75" thickBot="1" x14ac:dyDescent="0.3">
      <c r="A55" s="1"/>
      <c r="B55" s="1"/>
      <c r="C55" s="1" t="s">
        <v>87</v>
      </c>
      <c r="D55" s="1"/>
      <c r="E55" s="1"/>
      <c r="F55" s="1"/>
      <c r="G55" s="56">
        <f>ROUND(G17+G29+G33+G20+G54+G23,5)</f>
        <v>17671.45</v>
      </c>
      <c r="H55" s="33"/>
      <c r="I55" s="56">
        <f>ROUND(I17+I29+I33+I20+I54+I23,5)</f>
        <v>91100.57</v>
      </c>
      <c r="J55" s="33"/>
      <c r="K55" s="56">
        <f>ROUND(K17+K29+K33+K20+K54+K23,5)</f>
        <v>55475</v>
      </c>
      <c r="L55" s="56">
        <f t="shared" ref="L55:M55" si="7">ROUND(L17+L29+L33+L20+L54+L23,5)</f>
        <v>0</v>
      </c>
      <c r="M55" s="56">
        <f t="shared" si="7"/>
        <v>55475</v>
      </c>
      <c r="N55" s="33"/>
      <c r="O55" s="56">
        <f>ROUND(O17+O29+O33+O20+O54+O23,5)</f>
        <v>0</v>
      </c>
      <c r="P55" s="33"/>
      <c r="Q55" s="56">
        <f t="shared" si="5"/>
        <v>219722.02</v>
      </c>
      <c r="R55" s="60"/>
    </row>
    <row r="56" spans="1:18" ht="15.75" thickBot="1" x14ac:dyDescent="0.3">
      <c r="A56" s="1"/>
      <c r="B56" s="1" t="s">
        <v>88</v>
      </c>
      <c r="C56" s="1"/>
      <c r="D56" s="1"/>
      <c r="E56" s="1"/>
      <c r="F56" s="1"/>
      <c r="G56" s="56">
        <f>ROUND(G2+G16-G55,5)</f>
        <v>-17241.45</v>
      </c>
      <c r="H56" s="33"/>
      <c r="I56" s="56">
        <f>ROUND(I2+I16-I55,5)</f>
        <v>26399.43</v>
      </c>
      <c r="J56" s="33"/>
      <c r="K56" s="56">
        <f>ROUND(K2+K16-K55,5)</f>
        <v>4525</v>
      </c>
      <c r="L56" s="56">
        <f t="shared" ref="L56:M56" si="8">ROUND(L2+L16-L55,5)</f>
        <v>0</v>
      </c>
      <c r="M56" s="56">
        <f t="shared" si="8"/>
        <v>4525</v>
      </c>
      <c r="N56" s="33"/>
      <c r="O56" s="56">
        <f>ROUND(O2+O16-O55,5)</f>
        <v>0</v>
      </c>
      <c r="P56" s="33"/>
      <c r="Q56" s="56">
        <f t="shared" si="5"/>
        <v>18207.98</v>
      </c>
      <c r="R56" s="60"/>
    </row>
    <row r="57" spans="1:18" ht="15.75" thickBot="1" x14ac:dyDescent="0.3">
      <c r="A57" s="1" t="s">
        <v>105</v>
      </c>
      <c r="B57" s="1"/>
      <c r="C57" s="1"/>
      <c r="D57" s="1"/>
      <c r="E57" s="1"/>
      <c r="F57" s="1"/>
      <c r="G57" s="58">
        <f>G56</f>
        <v>-17241.45</v>
      </c>
      <c r="H57" s="1"/>
      <c r="I57" s="58">
        <f>I56</f>
        <v>26399.43</v>
      </c>
      <c r="J57" s="1"/>
      <c r="K57" s="58">
        <f>K56</f>
        <v>4525</v>
      </c>
      <c r="L57" s="58">
        <f t="shared" ref="L57:M57" si="9">L56</f>
        <v>0</v>
      </c>
      <c r="M57" s="58">
        <f t="shared" si="9"/>
        <v>4525</v>
      </c>
      <c r="N57" s="1"/>
      <c r="O57" s="58">
        <f>O56</f>
        <v>0</v>
      </c>
      <c r="P57" s="1"/>
      <c r="Q57" s="58">
        <f t="shared" si="5"/>
        <v>18207.98</v>
      </c>
      <c r="R57" s="60"/>
    </row>
    <row r="58" spans="1:18" ht="15.75" thickTop="1" x14ac:dyDescent="0.25">
      <c r="A58" s="1"/>
      <c r="B58" s="1"/>
      <c r="C58" s="1"/>
      <c r="D58" s="1"/>
      <c r="E58" s="1"/>
      <c r="F58" s="1"/>
      <c r="G58" s="59"/>
      <c r="H58" s="1"/>
      <c r="I58" s="59"/>
      <c r="J58" s="1"/>
      <c r="K58" s="59"/>
      <c r="L58" s="1"/>
      <c r="M58" s="68"/>
      <c r="N58" s="1"/>
      <c r="O58" s="59"/>
      <c r="P58" s="1"/>
      <c r="Q58" s="59"/>
      <c r="R58" s="60"/>
    </row>
    <row r="59" spans="1:18" x14ac:dyDescent="0.25">
      <c r="A59" s="1"/>
      <c r="B59" s="1"/>
      <c r="C59" s="1"/>
      <c r="D59" s="1"/>
      <c r="E59" s="1" t="s">
        <v>15</v>
      </c>
      <c r="G59" s="59"/>
      <c r="H59" s="1"/>
      <c r="I59" s="59"/>
      <c r="J59" s="1"/>
      <c r="K59" s="59"/>
      <c r="L59" s="1"/>
      <c r="M59" s="68"/>
      <c r="N59" s="1"/>
      <c r="O59" s="59"/>
      <c r="P59" s="1"/>
      <c r="Q59" s="59"/>
      <c r="R59" s="60"/>
    </row>
    <row r="60" spans="1:18" x14ac:dyDescent="0.25">
      <c r="A60" s="12"/>
      <c r="B60" s="12"/>
      <c r="C60" s="12"/>
      <c r="D60" s="12"/>
      <c r="E60" s="12"/>
      <c r="F60" s="12" t="s">
        <v>16</v>
      </c>
      <c r="G60" s="13"/>
      <c r="H60" s="13"/>
      <c r="I60" s="13">
        <v>240</v>
      </c>
      <c r="J60" s="13"/>
      <c r="K60" s="13">
        <v>120</v>
      </c>
      <c r="L60" s="13"/>
      <c r="M60" s="13">
        <v>120</v>
      </c>
      <c r="N60" s="13"/>
      <c r="O60" s="13"/>
      <c r="P60" s="13"/>
      <c r="Q60" s="13"/>
      <c r="R60" s="60"/>
    </row>
    <row r="61" spans="1:18" x14ac:dyDescent="0.25">
      <c r="A61" s="12"/>
      <c r="B61" s="12"/>
      <c r="C61" s="12"/>
      <c r="D61" s="12"/>
      <c r="E61" s="12"/>
      <c r="F61" s="12" t="s">
        <v>18</v>
      </c>
      <c r="G61" s="13"/>
      <c r="H61" s="13"/>
      <c r="I61" s="13">
        <v>500</v>
      </c>
      <c r="J61" s="13"/>
      <c r="K61" s="13">
        <v>500</v>
      </c>
      <c r="L61" s="13"/>
      <c r="M61" s="13">
        <v>500</v>
      </c>
      <c r="N61" s="13"/>
      <c r="O61" s="13"/>
      <c r="P61" s="13"/>
      <c r="Q61" s="13"/>
      <c r="R61" s="60"/>
    </row>
    <row r="62" spans="1:18" ht="15.75" thickBot="1" x14ac:dyDescent="0.3">
      <c r="A62" s="12"/>
      <c r="B62" s="12"/>
      <c r="C62" s="12"/>
      <c r="D62" s="12"/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60"/>
    </row>
    <row r="63" spans="1:18" ht="30" x14ac:dyDescent="0.25">
      <c r="A63" s="12"/>
      <c r="B63" s="12"/>
      <c r="C63" s="12"/>
      <c r="D63" s="12"/>
      <c r="E63" s="12"/>
      <c r="F63" s="72" t="s">
        <v>27</v>
      </c>
      <c r="G63" s="16"/>
      <c r="H63" s="73"/>
      <c r="I63" s="16"/>
      <c r="J63" s="74"/>
      <c r="K63" s="75" t="s">
        <v>12</v>
      </c>
      <c r="L63" s="13"/>
      <c r="M63" s="69"/>
      <c r="N63" s="13"/>
      <c r="O63" s="13"/>
      <c r="P63" s="13"/>
      <c r="Q63" s="13"/>
      <c r="R63" s="60"/>
    </row>
    <row r="64" spans="1:18" x14ac:dyDescent="0.25">
      <c r="A64" s="12"/>
      <c r="B64" s="12"/>
      <c r="C64" s="12"/>
      <c r="D64" s="12"/>
      <c r="E64" s="12"/>
      <c r="F64" s="20"/>
      <c r="G64" s="41" t="s">
        <v>10</v>
      </c>
      <c r="H64" s="71"/>
      <c r="I64" s="42" t="s">
        <v>11</v>
      </c>
      <c r="J64" s="71"/>
      <c r="K64" s="46"/>
      <c r="L64" s="13"/>
      <c r="M64" s="69"/>
      <c r="N64" s="13"/>
      <c r="O64" s="13"/>
      <c r="P64" s="13"/>
      <c r="Q64" s="13"/>
      <c r="R64" s="60"/>
    </row>
    <row r="65" spans="1:18" x14ac:dyDescent="0.25">
      <c r="A65" s="12"/>
      <c r="B65" s="12"/>
      <c r="C65" s="12"/>
      <c r="D65" s="12"/>
      <c r="E65" s="12"/>
      <c r="F65" s="18" t="s">
        <v>158</v>
      </c>
      <c r="G65" s="28">
        <f>54547.35/120</f>
        <v>454.56124999999997</v>
      </c>
      <c r="H65" s="71"/>
      <c r="I65" s="28">
        <f>90391.79/240</f>
        <v>376.63245833333332</v>
      </c>
      <c r="J65" s="71"/>
      <c r="K65" s="47">
        <f>((I65*2)+G65)/3</f>
        <v>402.60872222222224</v>
      </c>
      <c r="L65" s="13"/>
      <c r="M65" s="69"/>
      <c r="N65" s="13"/>
      <c r="O65" s="13"/>
      <c r="P65" s="13"/>
      <c r="Q65" s="13"/>
      <c r="R65" s="60"/>
    </row>
    <row r="66" spans="1:18" x14ac:dyDescent="0.25">
      <c r="A66" s="12"/>
      <c r="B66" s="12"/>
      <c r="C66" s="12"/>
      <c r="D66" s="12"/>
      <c r="E66" s="12"/>
      <c r="F66" s="27" t="s">
        <v>159</v>
      </c>
      <c r="G66" s="70">
        <f>17131.84/360</f>
        <v>47.588444444444448</v>
      </c>
      <c r="H66" s="71"/>
      <c r="I66" s="70">
        <f>17131.84/360</f>
        <v>47.588444444444448</v>
      </c>
      <c r="J66" s="71"/>
      <c r="K66" s="76">
        <f>I66</f>
        <v>47.588444444444448</v>
      </c>
      <c r="L66" s="13"/>
      <c r="M66" s="69"/>
      <c r="N66" s="13"/>
      <c r="O66" s="13"/>
      <c r="P66" s="13"/>
      <c r="Q66" s="13"/>
      <c r="R66" s="60"/>
    </row>
    <row r="67" spans="1:18" ht="16.5" x14ac:dyDescent="0.35">
      <c r="A67" s="12"/>
      <c r="B67" s="12"/>
      <c r="C67" s="12"/>
      <c r="D67" s="12"/>
      <c r="E67" s="12"/>
      <c r="F67" s="20"/>
      <c r="G67" s="29">
        <f>SUM(G65:G66)</f>
        <v>502.14969444444444</v>
      </c>
      <c r="H67" s="71"/>
      <c r="I67" s="29">
        <f>SUM(I65:I66)</f>
        <v>424.22090277777778</v>
      </c>
      <c r="J67" s="71"/>
      <c r="K67" s="49">
        <f>SUM(K65:K66)</f>
        <v>450.1971666666667</v>
      </c>
      <c r="L67" s="13"/>
      <c r="M67" s="69"/>
      <c r="N67" s="13"/>
      <c r="O67" s="13"/>
      <c r="P67" s="13"/>
      <c r="Q67" s="13"/>
      <c r="R67" s="60"/>
    </row>
    <row r="68" spans="1:18" ht="15.75" thickBot="1" x14ac:dyDescent="0.3">
      <c r="A68" s="12"/>
      <c r="B68" s="12"/>
      <c r="C68" s="12"/>
      <c r="D68" s="12"/>
      <c r="E68" s="12"/>
      <c r="F68" s="23"/>
      <c r="G68" s="24"/>
      <c r="H68" s="24"/>
      <c r="I68" s="24"/>
      <c r="J68" s="77"/>
      <c r="K68" s="50"/>
      <c r="L68" s="13"/>
      <c r="M68" s="69"/>
      <c r="N68" s="13"/>
      <c r="O68" s="13"/>
      <c r="P68" s="13"/>
      <c r="Q68" s="13"/>
      <c r="R68" s="60"/>
    </row>
  </sheetData>
  <phoneticPr fontId="9" type="noConversion"/>
  <printOptions gridLines="1"/>
  <pageMargins left="0.25" right="0.25" top="1" bottom="0.5" header="0.3" footer="0.3"/>
  <headerFooter>
    <oddHeader>&amp;L&amp;Z
&amp;F
&amp;A&amp;R&amp;D
&amp;T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Balance Sheet 06 30 11</vt:lpstr>
      <vt:lpstr>P &amp; L FYE 06 30 11</vt:lpstr>
      <vt:lpstr>Sheet2</vt:lpstr>
      <vt:lpstr>Sheet3</vt:lpstr>
      <vt:lpstr>Cash Flow</vt:lpstr>
      <vt:lpstr>2010 By Conf</vt:lpstr>
      <vt:lpstr>2011 By Conf</vt:lpstr>
      <vt:lpstr>2012 Budget By Conf 100</vt:lpstr>
      <vt:lpstr>2012 Budget By Conf 120</vt:lpstr>
      <vt:lpstr>CONFERENCES Most Likely $450</vt:lpstr>
      <vt:lpstr>CONFERENCES Most Likely $500</vt:lpstr>
      <vt:lpstr>'2012 Budget By Conf 120'!Print_Area</vt:lpstr>
      <vt:lpstr>'Balance Sheet 06 30 11'!Print_Area</vt:lpstr>
      <vt:lpstr>'2010 By Conf'!Print_Titles</vt:lpstr>
      <vt:lpstr>'2011 By Conf'!Print_Titles</vt:lpstr>
      <vt:lpstr>'Balance Sheet 06 30 11'!Print_Titles</vt:lpstr>
      <vt:lpstr>'Cash Flow'!Print_Titles</vt:lpstr>
      <vt:lpstr>'P &amp; L FYE 06 30 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Farrell</dc:creator>
  <cp:lastModifiedBy>JA User</cp:lastModifiedBy>
  <cp:lastPrinted>2011-11-23T22:49:50Z</cp:lastPrinted>
  <dcterms:created xsi:type="dcterms:W3CDTF">2011-08-12T21:29:31Z</dcterms:created>
  <dcterms:modified xsi:type="dcterms:W3CDTF">2012-04-24T22:22:19Z</dcterms:modified>
</cp:coreProperties>
</file>